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harts/chart1.xml" ContentType="application/vnd.openxmlformats-officedocument.drawingml.chart+xml"/>
  <Override PartName="/xl/charts/chart2.xml" ContentType="application/vnd.openxmlformats-officedocument.drawingml.chart+xml"/>
  <Override PartName="/xl/drawings/drawing2.xml" ContentType="application/vnd.openxmlformats-officedocument.drawing+xml"/>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530" codeName="{4D1C537B-E38A-612A-F078-A93A15B4B7F4}"/>
  <workbookPr codeName="ThisWorkbook" defaultThemeVersion="124226"/>
  <mc:AlternateContent xmlns:mc="http://schemas.openxmlformats.org/markup-compatibility/2006">
    <mc:Choice Requires="x15">
      <x15ac:absPath xmlns:x15ac="http://schemas.microsoft.com/office/spreadsheetml/2010/11/ac" url="C:\Users\Bob\Documents\Victron Energy\Software-Manuals\VE Sizing MPPT\"/>
    </mc:Choice>
  </mc:AlternateContent>
  <xr:revisionPtr revIDLastSave="0" documentId="8_{6E1C116A-A709-4AED-AA44-1C61A3412D67}" xr6:coauthVersionLast="46" xr6:coauthVersionMax="46" xr10:uidLastSave="{00000000-0000-0000-0000-000000000000}"/>
  <bookViews>
    <workbookView xWindow="17130" yWindow="1230" windowWidth="26025" windowHeight="18210" tabRatio="791" activeTab="1" xr2:uid="{00000000-000D-0000-FFFF-FFFF00000000}"/>
  </bookViews>
  <sheets>
    <sheet name="Blue- &amp; SmartSolar" sheetId="1" r:id="rId1"/>
    <sheet name="MPPT RS" sheetId="11" r:id="rId2"/>
    <sheet name="Modules" sheetId="2" r:id="rId3"/>
    <sheet name="Regulator" sheetId="3" r:id="rId4"/>
    <sheet name="Calculation table" sheetId="4" state="hidden" r:id="rId5"/>
    <sheet name="Calculation table RS" sheetId="12" state="hidden" r:id="rId6"/>
    <sheet name="Version" sheetId="9" r:id="rId7"/>
    <sheet name="Language" sheetId="10" state="hidden" r:id="rId8"/>
  </sheets>
  <definedNames>
    <definedName name="_xlnm.Print_Area" localSheetId="0">'Blue- &amp; SmartSolar'!$A$1:$J$31</definedName>
    <definedName name="_xlnm.Print_Area" localSheetId="1">'MPPT RS'!$A$1:$J$54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23" i="2" l="1"/>
  <c r="A24" i="2"/>
  <c r="A22" i="2"/>
  <c r="K31" i="1"/>
  <c r="U18" i="12"/>
  <c r="H18" i="12"/>
  <c r="E18" i="12"/>
  <c r="B26" i="11" l="1"/>
  <c r="E43" i="11"/>
  <c r="E26" i="11"/>
  <c r="E10" i="11"/>
  <c r="M1" i="11" l="1"/>
  <c r="U1" i="11"/>
  <c r="P14" i="12" l="1"/>
  <c r="P12" i="12"/>
  <c r="C14" i="12"/>
  <c r="C12" i="12"/>
  <c r="C9" i="12"/>
  <c r="H15" i="11"/>
  <c r="C10" i="12" s="1"/>
  <c r="H32" i="11"/>
  <c r="P9" i="12" s="1"/>
  <c r="P10" i="12" l="1"/>
  <c r="E6" i="11"/>
  <c r="B47" i="11"/>
  <c r="H45" i="11"/>
  <c r="H52" i="11"/>
  <c r="J52" i="11"/>
  <c r="H28" i="11"/>
  <c r="B45" i="11"/>
  <c r="B28" i="11"/>
  <c r="B52" i="11"/>
  <c r="D15" i="11"/>
  <c r="C16" i="12" s="1"/>
  <c r="D32" i="11"/>
  <c r="A3" i="2"/>
  <c r="R19" i="12"/>
  <c r="E19" i="12"/>
  <c r="E50" i="12" s="1"/>
  <c r="B25" i="11" s="1"/>
  <c r="B50" i="11"/>
  <c r="B48" i="11"/>
  <c r="B61" i="12"/>
  <c r="B60" i="12"/>
  <c r="R50" i="12" l="1"/>
  <c r="C8" i="12"/>
  <c r="C7" i="12"/>
  <c r="P7" i="12"/>
  <c r="P8" i="12"/>
  <c r="B42" i="11"/>
  <c r="P16" i="12"/>
  <c r="D43" i="11" s="1"/>
  <c r="B44" i="11" s="1"/>
  <c r="B59" i="12"/>
  <c r="P20" i="12"/>
  <c r="R36" i="12" s="1"/>
  <c r="C20" i="12"/>
  <c r="P19" i="12"/>
  <c r="Q34" i="12" s="1"/>
  <c r="C19" i="12"/>
  <c r="R18" i="12"/>
  <c r="P47" i="12" s="1"/>
  <c r="B10" i="11"/>
  <c r="P5" i="12"/>
  <c r="O37" i="12" s="1"/>
  <c r="N37" i="12" s="1"/>
  <c r="R5" i="12"/>
  <c r="R4" i="12"/>
  <c r="H35" i="11"/>
  <c r="P24" i="12" s="1"/>
  <c r="B36" i="11"/>
  <c r="B19" i="11"/>
  <c r="B35" i="11"/>
  <c r="B18" i="11"/>
  <c r="B34" i="11"/>
  <c r="B17" i="11"/>
  <c r="C15" i="11"/>
  <c r="G32" i="11"/>
  <c r="G15" i="11"/>
  <c r="C32" i="11"/>
  <c r="B30" i="11"/>
  <c r="B13" i="11"/>
  <c r="H18" i="11"/>
  <c r="C24" i="12" s="1"/>
  <c r="B24" i="11"/>
  <c r="B41" i="11"/>
  <c r="B23" i="11"/>
  <c r="B40" i="11"/>
  <c r="B22" i="11"/>
  <c r="B39" i="11"/>
  <c r="B21" i="11"/>
  <c r="B38" i="11"/>
  <c r="H6" i="11"/>
  <c r="P18" i="12" s="1"/>
  <c r="P34" i="12" s="1"/>
  <c r="C63" i="12" l="1"/>
  <c r="B11" i="11" s="1"/>
  <c r="D26" i="11"/>
  <c r="D10" i="11"/>
  <c r="C13" i="12"/>
  <c r="P13" i="12"/>
  <c r="W37" i="12" s="1"/>
  <c r="C18" i="12"/>
  <c r="G21" i="11" s="1"/>
  <c r="G40" i="11"/>
  <c r="P35" i="12"/>
  <c r="P32" i="12"/>
  <c r="R34" i="12"/>
  <c r="P33" i="12"/>
  <c r="P43" i="12"/>
  <c r="R35" i="12"/>
  <c r="R32" i="12"/>
  <c r="P42" i="12"/>
  <c r="G38" i="11"/>
  <c r="P31" i="12"/>
  <c r="R33" i="12"/>
  <c r="C60" i="12"/>
  <c r="C59" i="12"/>
  <c r="C55" i="12"/>
  <c r="C61" i="12"/>
  <c r="C58" i="12"/>
  <c r="C54" i="12"/>
  <c r="C57" i="12"/>
  <c r="C56" i="12"/>
  <c r="P37" i="12"/>
  <c r="R31" i="12"/>
  <c r="P36" i="12"/>
  <c r="P46" i="12"/>
  <c r="P30" i="12"/>
  <c r="P45" i="12"/>
  <c r="Q33" i="12"/>
  <c r="P44" i="12"/>
  <c r="Q32" i="12"/>
  <c r="P49" i="12"/>
  <c r="B58" i="12"/>
  <c r="P41" i="12"/>
  <c r="Q30" i="12"/>
  <c r="R30" i="12"/>
  <c r="P40" i="12"/>
  <c r="Q37" i="12"/>
  <c r="R37" i="12"/>
  <c r="Q31" i="12"/>
  <c r="Q36" i="12"/>
  <c r="Q35" i="12"/>
  <c r="P15" i="12"/>
  <c r="O36" i="12"/>
  <c r="N36" i="12" s="1"/>
  <c r="O47" i="12"/>
  <c r="N47" i="12" s="1"/>
  <c r="B8" i="11"/>
  <c r="B11" i="1"/>
  <c r="G47" i="11"/>
  <c r="C5" i="12"/>
  <c r="J60" i="11"/>
  <c r="B27" i="11" l="1"/>
  <c r="V37" i="12"/>
  <c r="V36" i="12"/>
  <c r="C49" i="12"/>
  <c r="W36" i="12"/>
  <c r="Q47" i="12"/>
  <c r="C40" i="12"/>
  <c r="O46" i="12"/>
  <c r="N46" i="12" s="1"/>
  <c r="O35" i="12"/>
  <c r="G23" i="11"/>
  <c r="C15" i="12"/>
  <c r="C44" i="12"/>
  <c r="C32" i="12"/>
  <c r="C33" i="12"/>
  <c r="C35" i="12"/>
  <c r="C36" i="12"/>
  <c r="C31" i="12"/>
  <c r="C34" i="12"/>
  <c r="C37" i="12"/>
  <c r="C30" i="12"/>
  <c r="B37" i="12"/>
  <c r="A37" i="12" s="1"/>
  <c r="E30" i="12"/>
  <c r="E31" i="12"/>
  <c r="E32" i="12"/>
  <c r="E33" i="12"/>
  <c r="E34" i="12"/>
  <c r="E35" i="12"/>
  <c r="E36" i="12"/>
  <c r="E37" i="12"/>
  <c r="C43" i="12"/>
  <c r="C47" i="12"/>
  <c r="B47" i="12"/>
  <c r="C46" i="12"/>
  <c r="C42" i="12"/>
  <c r="C41" i="12"/>
  <c r="C45" i="12"/>
  <c r="M59" i="11"/>
  <c r="H59" i="11" s="1"/>
  <c r="J65" i="11"/>
  <c r="J64" i="11"/>
  <c r="J63" i="11"/>
  <c r="J62" i="11"/>
  <c r="J61" i="11"/>
  <c r="J59" i="11"/>
  <c r="K65" i="11"/>
  <c r="K60" i="11"/>
  <c r="K61" i="11"/>
  <c r="K62" i="11"/>
  <c r="K63" i="11"/>
  <c r="K64" i="11"/>
  <c r="K59" i="11"/>
  <c r="I60" i="11"/>
  <c r="I61" i="11"/>
  <c r="I62" i="11"/>
  <c r="I63" i="11"/>
  <c r="I64" i="11"/>
  <c r="I65" i="11"/>
  <c r="I59" i="11"/>
  <c r="H8" i="11"/>
  <c r="F9" i="11"/>
  <c r="AC1" i="11"/>
  <c r="G8" i="11"/>
  <c r="D8" i="11"/>
  <c r="I8" i="11"/>
  <c r="F8" i="11"/>
  <c r="Q46" i="12" l="1"/>
  <c r="A61" i="12"/>
  <c r="A47" i="12"/>
  <c r="N35" i="12"/>
  <c r="W35" i="12"/>
  <c r="V35" i="12"/>
  <c r="D60" i="12"/>
  <c r="D61" i="12"/>
  <c r="X37" i="12"/>
  <c r="G41" i="11" s="1"/>
  <c r="C4" i="12"/>
  <c r="P4" i="12"/>
  <c r="O34" i="12"/>
  <c r="O45" i="12"/>
  <c r="E8" i="11"/>
  <c r="D47" i="12"/>
  <c r="I37" i="12"/>
  <c r="B36" i="12"/>
  <c r="A36" i="12" s="1"/>
  <c r="J37" i="12"/>
  <c r="D37" i="12"/>
  <c r="D34" i="12"/>
  <c r="D31" i="12"/>
  <c r="D35" i="12"/>
  <c r="D32" i="12"/>
  <c r="D36" i="12"/>
  <c r="D33" i="12"/>
  <c r="D30" i="12"/>
  <c r="B46" i="12"/>
  <c r="A20" i="3"/>
  <c r="M65" i="11"/>
  <c r="H65" i="11" s="1"/>
  <c r="A65" i="11"/>
  <c r="M64" i="11"/>
  <c r="H64" i="11" s="1"/>
  <c r="A64" i="11"/>
  <c r="M63" i="11"/>
  <c r="H63" i="11" s="1"/>
  <c r="A63" i="11"/>
  <c r="M62" i="11"/>
  <c r="H62" i="11" s="1"/>
  <c r="A62" i="11"/>
  <c r="M61" i="11"/>
  <c r="H61" i="11" s="1"/>
  <c r="A61" i="11"/>
  <c r="M60" i="11"/>
  <c r="H60" i="11" s="1"/>
  <c r="A60" i="11"/>
  <c r="A59" i="11"/>
  <c r="J58" i="11"/>
  <c r="H58" i="11"/>
  <c r="A58" i="11"/>
  <c r="J56" i="11"/>
  <c r="A56" i="11"/>
  <c r="B4" i="11"/>
  <c r="X36" i="12" l="1"/>
  <c r="K37" i="12"/>
  <c r="G24" i="11" s="1"/>
  <c r="N45" i="12"/>
  <c r="Q45" i="12"/>
  <c r="D59" i="12"/>
  <c r="B30" i="12"/>
  <c r="B31" i="12" s="1"/>
  <c r="B54" i="12"/>
  <c r="B40" i="12"/>
  <c r="D40" i="12" s="1"/>
  <c r="N34" i="12"/>
  <c r="V34" i="12"/>
  <c r="W34" i="12"/>
  <c r="A60" i="12"/>
  <c r="A46" i="12"/>
  <c r="O30" i="12"/>
  <c r="O40" i="12"/>
  <c r="O44" i="12"/>
  <c r="B35" i="12"/>
  <c r="A35" i="12" s="1"/>
  <c r="J36" i="12"/>
  <c r="I36" i="12"/>
  <c r="B45" i="12"/>
  <c r="D46" i="12"/>
  <c r="A5" i="3"/>
  <c r="D54" i="12" l="1"/>
  <c r="F30" i="12"/>
  <c r="G22" i="11" s="1"/>
  <c r="E28" i="11" s="1"/>
  <c r="G28" i="11" s="1"/>
  <c r="A40" i="12"/>
  <c r="A54" i="12"/>
  <c r="N30" i="12"/>
  <c r="O31" i="12"/>
  <c r="S30" i="12"/>
  <c r="G39" i="11" s="1"/>
  <c r="E45" i="11" s="1"/>
  <c r="T30" i="12"/>
  <c r="A30" i="12"/>
  <c r="G30" i="12"/>
  <c r="N40" i="12"/>
  <c r="Q40" i="12"/>
  <c r="B55" i="12"/>
  <c r="X35" i="12"/>
  <c r="A59" i="12"/>
  <c r="A45" i="12"/>
  <c r="G31" i="12"/>
  <c r="A31" i="12"/>
  <c r="N44" i="12"/>
  <c r="Q44" i="12"/>
  <c r="D58" i="12"/>
  <c r="K36" i="12"/>
  <c r="F31" i="12"/>
  <c r="B41" i="12"/>
  <c r="B32" i="12"/>
  <c r="A32" i="12" s="1"/>
  <c r="O41" i="12"/>
  <c r="B44" i="12"/>
  <c r="D45" i="12"/>
  <c r="B34" i="12"/>
  <c r="A34" i="12" s="1"/>
  <c r="J35" i="12"/>
  <c r="I35" i="12"/>
  <c r="J33" i="1"/>
  <c r="E52" i="11" l="1"/>
  <c r="G52" i="11" s="1"/>
  <c r="B33" i="12"/>
  <c r="F33" i="12" s="1"/>
  <c r="H30" i="12"/>
  <c r="G32" i="12"/>
  <c r="N41" i="12"/>
  <c r="Q41" i="12"/>
  <c r="X34" i="12"/>
  <c r="N31" i="12"/>
  <c r="O32" i="12"/>
  <c r="S31" i="12"/>
  <c r="T31" i="12"/>
  <c r="B56" i="12"/>
  <c r="D55" i="12"/>
  <c r="A55" i="12"/>
  <c r="A41" i="12"/>
  <c r="U30" i="12"/>
  <c r="A58" i="12"/>
  <c r="A44" i="12"/>
  <c r="K35" i="12"/>
  <c r="D41" i="12"/>
  <c r="B42" i="12"/>
  <c r="F32" i="12"/>
  <c r="O42" i="12"/>
  <c r="I34" i="12"/>
  <c r="J34" i="12"/>
  <c r="D44" i="12"/>
  <c r="A36" i="1"/>
  <c r="A45" i="2"/>
  <c r="A44" i="2"/>
  <c r="A43" i="2"/>
  <c r="A42" i="2"/>
  <c r="A40" i="2"/>
  <c r="A39" i="2"/>
  <c r="A38" i="2"/>
  <c r="A36" i="2"/>
  <c r="A37" i="2"/>
  <c r="J29" i="1"/>
  <c r="U31" i="12" l="1"/>
  <c r="G33" i="12"/>
  <c r="A33" i="12"/>
  <c r="G45" i="11"/>
  <c r="B57" i="12"/>
  <c r="D56" i="12"/>
  <c r="N42" i="12"/>
  <c r="Q42" i="12"/>
  <c r="N32" i="12"/>
  <c r="T32" i="12"/>
  <c r="S32" i="12"/>
  <c r="A56" i="12"/>
  <c r="A42" i="12"/>
  <c r="B43" i="12"/>
  <c r="D42" i="12"/>
  <c r="H31" i="12"/>
  <c r="O33" i="12"/>
  <c r="O43" i="12"/>
  <c r="K34" i="12"/>
  <c r="B17" i="1"/>
  <c r="H18" i="1"/>
  <c r="C24" i="4" s="1"/>
  <c r="B18" i="1"/>
  <c r="U1" i="1"/>
  <c r="M1" i="1"/>
  <c r="A42" i="1"/>
  <c r="A41" i="1"/>
  <c r="A40" i="1"/>
  <c r="A39" i="1"/>
  <c r="A38" i="1"/>
  <c r="A37" i="1"/>
  <c r="A35" i="1"/>
  <c r="A33" i="1"/>
  <c r="H29" i="1"/>
  <c r="B29" i="1"/>
  <c r="B27" i="1"/>
  <c r="B25" i="1"/>
  <c r="B24" i="1"/>
  <c r="B23" i="1"/>
  <c r="B22" i="1"/>
  <c r="B21" i="1"/>
  <c r="B20" i="1"/>
  <c r="B15" i="1"/>
  <c r="B13" i="1"/>
  <c r="G11" i="1"/>
  <c r="D11" i="1"/>
  <c r="E8" i="1"/>
  <c r="B8" i="1"/>
  <c r="G6" i="1"/>
  <c r="B6" i="1"/>
  <c r="B4" i="1"/>
  <c r="U32" i="12" l="1"/>
  <c r="D57" i="12"/>
  <c r="A57" i="12"/>
  <c r="A43" i="12"/>
  <c r="N43" i="12"/>
  <c r="Q43" i="12"/>
  <c r="N33" i="12"/>
  <c r="S33" i="12"/>
  <c r="T33" i="12"/>
  <c r="H32" i="12"/>
  <c r="D43" i="12"/>
  <c r="A15" i="2"/>
  <c r="A19" i="2"/>
  <c r="A10" i="2"/>
  <c r="U33" i="12" l="1"/>
  <c r="H33" i="12"/>
  <c r="A7" i="2"/>
  <c r="A17" i="2" l="1"/>
  <c r="A18" i="2"/>
  <c r="A5" i="2"/>
  <c r="A6" i="2"/>
  <c r="A8" i="2"/>
  <c r="A9" i="2"/>
  <c r="C5" i="4" l="1"/>
  <c r="M42" i="1"/>
  <c r="H42" i="1" s="1"/>
  <c r="M41" i="1"/>
  <c r="H41" i="1" s="1"/>
  <c r="M40" i="1"/>
  <c r="H40" i="1" s="1"/>
  <c r="M39" i="1"/>
  <c r="H39" i="1" s="1"/>
  <c r="M38" i="1"/>
  <c r="H38" i="1" s="1"/>
  <c r="M37" i="1"/>
  <c r="H37" i="1" s="1"/>
  <c r="M36" i="1"/>
  <c r="H36" i="1" s="1"/>
  <c r="J42" i="1"/>
  <c r="J41" i="1"/>
  <c r="J40" i="1"/>
  <c r="J39" i="1"/>
  <c r="J38" i="1"/>
  <c r="J37" i="1"/>
  <c r="J36" i="1"/>
  <c r="K42" i="1"/>
  <c r="K41" i="1"/>
  <c r="K40" i="1"/>
  <c r="K39" i="1"/>
  <c r="K38" i="1"/>
  <c r="K37" i="1"/>
  <c r="K36" i="1"/>
  <c r="I42" i="1"/>
  <c r="I41" i="1"/>
  <c r="I40" i="1"/>
  <c r="I39" i="1"/>
  <c r="I38" i="1"/>
  <c r="I37" i="1"/>
  <c r="I36" i="1"/>
  <c r="F11" i="1"/>
  <c r="F12" i="1"/>
  <c r="H11" i="1"/>
  <c r="C4" i="4" l="1"/>
  <c r="B40" i="4" s="1"/>
  <c r="E5" i="4"/>
  <c r="E5" i="12"/>
  <c r="B37" i="4"/>
  <c r="B47" i="4"/>
  <c r="B36" i="4"/>
  <c r="A37" i="4"/>
  <c r="E11" i="1"/>
  <c r="I11" i="1"/>
  <c r="A40" i="4" l="1"/>
  <c r="B41" i="4"/>
  <c r="B42" i="4" s="1"/>
  <c r="E4" i="4"/>
  <c r="B30" i="4" s="1"/>
  <c r="B31" i="4" s="1"/>
  <c r="E4" i="12"/>
  <c r="A47" i="4"/>
  <c r="B46" i="4"/>
  <c r="B35" i="4"/>
  <c r="A36" i="4"/>
  <c r="A41" i="4" l="1"/>
  <c r="A30" i="4"/>
  <c r="A46" i="4"/>
  <c r="B45" i="4"/>
  <c r="B34" i="4"/>
  <c r="A35" i="4"/>
  <c r="B43" i="4"/>
  <c r="A42" i="4"/>
  <c r="B32" i="4"/>
  <c r="A31" i="4"/>
  <c r="A16" i="2"/>
  <c r="A12" i="2"/>
  <c r="A11" i="2"/>
  <c r="A4" i="2"/>
  <c r="A45" i="4" l="1"/>
  <c r="A43" i="4"/>
  <c r="B44" i="4"/>
  <c r="A34" i="4"/>
  <c r="B33" i="4"/>
  <c r="A32" i="4"/>
  <c r="A25" i="2"/>
  <c r="A26" i="2"/>
  <c r="A27" i="2"/>
  <c r="A28" i="2"/>
  <c r="A29" i="2"/>
  <c r="A30" i="2"/>
  <c r="A31" i="2"/>
  <c r="A32" i="2"/>
  <c r="A33" i="2"/>
  <c r="A34" i="2"/>
  <c r="A44" i="4" l="1"/>
  <c r="A33" i="4"/>
  <c r="A14" i="3" l="1"/>
  <c r="A15" i="3"/>
  <c r="A13" i="2" l="1"/>
  <c r="A16" i="3" l="1"/>
  <c r="A17" i="3"/>
  <c r="G24" i="1" l="1"/>
  <c r="E19" i="4"/>
  <c r="E18" i="4"/>
  <c r="C40" i="4" l="1"/>
  <c r="C18" i="4"/>
  <c r="A12" i="3" l="1"/>
  <c r="A13" i="3"/>
  <c r="A9" i="3" l="1"/>
  <c r="A10" i="3"/>
  <c r="A11" i="3"/>
  <c r="A21" i="2" l="1"/>
  <c r="A14" i="2" l="1"/>
  <c r="A20" i="2"/>
  <c r="C45" i="2" l="1"/>
  <c r="C40" i="2"/>
  <c r="A8" i="3" l="1"/>
  <c r="A6" i="3"/>
  <c r="A7" i="3"/>
  <c r="G20" i="1" l="1"/>
  <c r="M15" i="1"/>
  <c r="M14" i="1"/>
  <c r="M13" i="1"/>
  <c r="M12" i="1"/>
  <c r="R20" i="12" l="1"/>
  <c r="E20" i="12"/>
  <c r="E20" i="4"/>
  <c r="G20" i="4" s="1"/>
  <c r="F1" i="10"/>
  <c r="E1" i="10"/>
  <c r="D1" i="10"/>
  <c r="C1" i="10"/>
  <c r="B1" i="10"/>
  <c r="J35" i="1"/>
  <c r="H35" i="1"/>
  <c r="C7" i="4"/>
  <c r="C11" i="12" l="1"/>
  <c r="E59" i="12"/>
  <c r="E44" i="12"/>
  <c r="E42" i="12"/>
  <c r="E56" i="12"/>
  <c r="E40" i="12"/>
  <c r="E45" i="12"/>
  <c r="E46" i="12"/>
  <c r="E55" i="12"/>
  <c r="E61" i="12"/>
  <c r="E58" i="12"/>
  <c r="E43" i="12"/>
  <c r="E60" i="12"/>
  <c r="E41" i="12"/>
  <c r="E57" i="12"/>
  <c r="E47" i="12"/>
  <c r="E54" i="12"/>
  <c r="G20" i="12"/>
  <c r="R40" i="12"/>
  <c r="T20" i="12"/>
  <c r="R45" i="12"/>
  <c r="R47" i="12"/>
  <c r="R42" i="12"/>
  <c r="R43" i="12"/>
  <c r="R46" i="12"/>
  <c r="R44" i="12"/>
  <c r="P11" i="12"/>
  <c r="R41" i="12"/>
  <c r="E40" i="4"/>
  <c r="C21" i="4"/>
  <c r="C42" i="4"/>
  <c r="A4" i="3"/>
  <c r="D8" i="1"/>
  <c r="C14" i="4"/>
  <c r="C12" i="4"/>
  <c r="C13" i="4" s="1"/>
  <c r="I37" i="4" s="1"/>
  <c r="C10" i="4"/>
  <c r="C9" i="4"/>
  <c r="C8" i="4"/>
  <c r="C31" i="4"/>
  <c r="C19" i="4"/>
  <c r="A3" i="3"/>
  <c r="A2" i="3"/>
  <c r="C35" i="4"/>
  <c r="C37" i="4"/>
  <c r="C32" i="4"/>
  <c r="C34" i="4"/>
  <c r="R21" i="12" l="1"/>
  <c r="S43" i="12" s="1"/>
  <c r="E21" i="12"/>
  <c r="F42" i="12" s="1"/>
  <c r="C16" i="4"/>
  <c r="C49" i="4" s="1"/>
  <c r="B9" i="1" s="1"/>
  <c r="F33" i="4"/>
  <c r="I34" i="4"/>
  <c r="I35" i="4"/>
  <c r="F30" i="4"/>
  <c r="F32" i="4"/>
  <c r="I36" i="4"/>
  <c r="J37" i="4"/>
  <c r="J36" i="4"/>
  <c r="G30" i="4"/>
  <c r="J35" i="4"/>
  <c r="G31" i="4"/>
  <c r="J34" i="4"/>
  <c r="G32" i="4"/>
  <c r="G33" i="4"/>
  <c r="F31" i="4"/>
  <c r="E50" i="4"/>
  <c r="C46" i="4"/>
  <c r="C41" i="4"/>
  <c r="C44" i="4"/>
  <c r="C43" i="4"/>
  <c r="C45" i="4"/>
  <c r="C33" i="4"/>
  <c r="C30" i="4"/>
  <c r="C36" i="4"/>
  <c r="C15" i="4"/>
  <c r="D43" i="4" s="1"/>
  <c r="H33" i="4" s="1"/>
  <c r="C47" i="4"/>
  <c r="D35" i="4"/>
  <c r="T47" i="12" l="1"/>
  <c r="T45" i="12"/>
  <c r="G47" i="12"/>
  <c r="F41" i="12"/>
  <c r="G44" i="12"/>
  <c r="F40" i="12"/>
  <c r="S40" i="12"/>
  <c r="G45" i="12"/>
  <c r="T46" i="12"/>
  <c r="S41" i="12"/>
  <c r="S42" i="12"/>
  <c r="F56" i="12" s="1"/>
  <c r="F43" i="12"/>
  <c r="F57" i="12" s="1"/>
  <c r="T44" i="12"/>
  <c r="G46" i="12"/>
  <c r="G60" i="12" s="1"/>
  <c r="D40" i="4"/>
  <c r="H30" i="4" s="1"/>
  <c r="D45" i="4"/>
  <c r="K35" i="4" s="1"/>
  <c r="D46" i="4"/>
  <c r="K36" i="4" s="1"/>
  <c r="D47" i="4"/>
  <c r="K37" i="4" s="1"/>
  <c r="D42" i="4"/>
  <c r="H32" i="4" s="1"/>
  <c r="D44" i="4"/>
  <c r="D41" i="4"/>
  <c r="H31" i="4" s="1"/>
  <c r="C20" i="4"/>
  <c r="E46" i="4"/>
  <c r="E41" i="4"/>
  <c r="D33" i="4"/>
  <c r="E21" i="4"/>
  <c r="C11" i="4"/>
  <c r="E42" i="4"/>
  <c r="D30" i="4"/>
  <c r="D32" i="4"/>
  <c r="D34" i="4"/>
  <c r="E47" i="4"/>
  <c r="E44" i="4"/>
  <c r="D31" i="4"/>
  <c r="D36" i="4"/>
  <c r="E43" i="4"/>
  <c r="D37" i="4"/>
  <c r="E45" i="4"/>
  <c r="G21" i="1"/>
  <c r="F55" i="12" l="1"/>
  <c r="G61" i="12"/>
  <c r="G50" i="11" s="1"/>
  <c r="G51" i="11" s="1"/>
  <c r="F54" i="12"/>
  <c r="G48" i="11" s="1"/>
  <c r="G49" i="11" s="1"/>
  <c r="G58" i="12"/>
  <c r="G59" i="12"/>
  <c r="E32" i="4"/>
  <c r="F40" i="4"/>
  <c r="K34" i="4"/>
  <c r="G44" i="4"/>
  <c r="E31" i="4"/>
  <c r="E36" i="4"/>
  <c r="E33" i="4"/>
  <c r="E37" i="4"/>
  <c r="E30" i="4"/>
  <c r="G22" i="1"/>
  <c r="E35" i="4"/>
  <c r="E34" i="4"/>
  <c r="G45" i="4"/>
  <c r="G46" i="4"/>
  <c r="G47" i="4"/>
  <c r="G27" i="1" l="1"/>
  <c r="G28" i="1" s="1"/>
  <c r="G23" i="1"/>
  <c r="F41" i="4"/>
  <c r="F42" i="4" l="1"/>
  <c r="F43" i="4"/>
  <c r="G25" i="1" l="1"/>
  <c r="B10" i="1" s="1"/>
  <c r="G29" i="1" l="1"/>
  <c r="G26" i="1"/>
</calcChain>
</file>

<file path=xl/sharedStrings.xml><?xml version="1.0" encoding="utf-8"?>
<sst xmlns="http://schemas.openxmlformats.org/spreadsheetml/2006/main" count="746" uniqueCount="545">
  <si>
    <t>Manufacturer</t>
  </si>
  <si>
    <t>Type</t>
  </si>
  <si>
    <t>Power</t>
  </si>
  <si>
    <t>Isc</t>
  </si>
  <si>
    <t>Impp</t>
  </si>
  <si>
    <t>I temp coeff</t>
  </si>
  <si>
    <t>Victron Energy</t>
  </si>
  <si>
    <t>SPM30-12</t>
  </si>
  <si>
    <t>Min.</t>
  </si>
  <si>
    <t xml:space="preserve">Max. </t>
  </si>
  <si>
    <t>Power @ 12V</t>
  </si>
  <si>
    <t>Power @ 24V</t>
  </si>
  <si>
    <t>Power @ 36V</t>
  </si>
  <si>
    <t>Power @ 48V</t>
  </si>
  <si>
    <t>Temperature</t>
  </si>
  <si>
    <t>min</t>
  </si>
  <si>
    <t>max</t>
  </si>
  <si>
    <t>System voltage</t>
  </si>
  <si>
    <t>Volt</t>
  </si>
  <si>
    <t>System Voltage</t>
  </si>
  <si>
    <t>Ibat max</t>
  </si>
  <si>
    <t>Temp. Coeff. Isc</t>
  </si>
  <si>
    <t>Temp. Coeff. Isc absolute</t>
  </si>
  <si>
    <t>DATA:</t>
  </si>
  <si>
    <t>Max. input voltage</t>
  </si>
  <si>
    <t>Efficiency@12</t>
  </si>
  <si>
    <t>Efficiency@24</t>
  </si>
  <si>
    <t>Efficiency@36</t>
  </si>
  <si>
    <t>Efficiency@48</t>
  </si>
  <si>
    <t>Max. Efficiency</t>
  </si>
  <si>
    <t>SPP30-12</t>
  </si>
  <si>
    <t>Min. input voltage @ MPP</t>
  </si>
  <si>
    <t>Impp output @25°C</t>
  </si>
  <si>
    <t>Isc PV@25°C</t>
  </si>
  <si>
    <t>Impp PV @25°C</t>
  </si>
  <si>
    <t>History</t>
  </si>
  <si>
    <t>- First version</t>
  </si>
  <si>
    <t>Max. PV voltage @ min. temperature</t>
  </si>
  <si>
    <t>Min. PV voltage @ max. temperature</t>
  </si>
  <si>
    <t>Location:</t>
  </si>
  <si>
    <t>In series:</t>
  </si>
  <si>
    <t>Parallel:</t>
  </si>
  <si>
    <t>System voltage:</t>
  </si>
  <si>
    <t>Pitched roof in warm region (good ventilation)</t>
  </si>
  <si>
    <t>Regulator info:</t>
  </si>
  <si>
    <t>Solar module configuration</t>
  </si>
  <si>
    <t>- Reduced output current to maximum output current at low &amp; high temperatures. Now a system will show 'power loss' only wenn the output current exceeds the max. at low &amp; high temperatures.</t>
  </si>
  <si>
    <t>- Power reduction comment set @ highest temperature.</t>
  </si>
  <si>
    <t>1.4</t>
  </si>
  <si>
    <t>1.3</t>
  </si>
  <si>
    <t>1.2</t>
  </si>
  <si>
    <t>1.1</t>
  </si>
  <si>
    <t>1.0</t>
  </si>
  <si>
    <t>Example locations with expected temperatures:</t>
  </si>
  <si>
    <t>Pitched on boat (good ventilation)</t>
  </si>
  <si>
    <t>Flat on boat (poor ventilation)</t>
  </si>
  <si>
    <t>Voc @25°C</t>
  </si>
  <si>
    <t>Vmpp @25°C</t>
  </si>
  <si>
    <t>Temp. Coeff. Voc</t>
  </si>
  <si>
    <t>Temp. Coeff. Voc absolute</t>
  </si>
  <si>
    <t>Voc max</t>
  </si>
  <si>
    <t>Voc min</t>
  </si>
  <si>
    <t>Vmpp min</t>
  </si>
  <si>
    <t>Voc max.</t>
  </si>
  <si>
    <t>Pitched roof in average region (good ventilation)</t>
  </si>
  <si>
    <t>Pitched roof on mountain (good ventilation)</t>
  </si>
  <si>
    <t>Module:</t>
  </si>
  <si>
    <t>Max. output current</t>
  </si>
  <si>
    <t>Voc START min.</t>
  </si>
  <si>
    <t>Vmpp RUN min.</t>
  </si>
  <si>
    <t>String Voc max.</t>
  </si>
  <si>
    <t>String Vmpp max.</t>
  </si>
  <si>
    <t>String Voc min.</t>
  </si>
  <si>
    <t>String Vmpp min.</t>
  </si>
  <si>
    <t>Impp PV max.</t>
  </si>
  <si>
    <t>Ibat max.</t>
  </si>
  <si>
    <t>Module info:</t>
  </si>
  <si>
    <t>Max. current @ MPP min. temp.</t>
  </si>
  <si>
    <t>Max. current @ MPP max. temp.</t>
  </si>
  <si>
    <t>Controller:</t>
  </si>
  <si>
    <t>Ibat max. @ Impp</t>
  </si>
  <si>
    <t>Ibat min. @ Impp</t>
  </si>
  <si>
    <t>ENGLISH</t>
  </si>
  <si>
    <t>Pos.</t>
  </si>
  <si>
    <t>DUTCH</t>
  </si>
  <si>
    <t>Paneel:</t>
  </si>
  <si>
    <t>DEUTSCH</t>
  </si>
  <si>
    <t>Modul:</t>
  </si>
  <si>
    <t>FRANCAIS</t>
  </si>
  <si>
    <t>1.5</t>
  </si>
  <si>
    <t>In serie:</t>
  </si>
  <si>
    <t>In Reihe:</t>
  </si>
  <si>
    <t>En serie:</t>
  </si>
  <si>
    <t>Wp</t>
  </si>
  <si>
    <t>Wc</t>
  </si>
  <si>
    <t>Max.</t>
  </si>
  <si>
    <t>Regelaar:</t>
  </si>
  <si>
    <t>Systeem spanning:</t>
  </si>
  <si>
    <t>Max. ingangsspanning</t>
  </si>
  <si>
    <t>Max. PV spanning @ min. temp.</t>
  </si>
  <si>
    <t>Min. ingangsspanning @ MPP</t>
  </si>
  <si>
    <t>Min. PV spanning @ max. Temp.</t>
  </si>
  <si>
    <t>Max. uitgangsstroom</t>
  </si>
  <si>
    <t>Max. stroom @ MPP min. temp.</t>
  </si>
  <si>
    <t>Max. stroom @ MPP max. temp.</t>
  </si>
  <si>
    <t>Zonne-paneel configuratie</t>
  </si>
  <si>
    <t>Voorbeeld lokaties en verwachte temperatuur:</t>
  </si>
  <si>
    <t>Regler:</t>
  </si>
  <si>
    <t>System Spannung:</t>
  </si>
  <si>
    <t>Max. Eingangspannung:</t>
  </si>
  <si>
    <t>Min. Eingangspannung @ MPP</t>
  </si>
  <si>
    <t>Max. Ausgangstrom</t>
  </si>
  <si>
    <t>Max. Strom @ MPP min. Temp.</t>
  </si>
  <si>
    <t>Max. Strom @ MPP max. Temp.</t>
  </si>
  <si>
    <t>Solar Modul Auslegung</t>
  </si>
  <si>
    <t>Max. PV Spannung @ min. Temp.</t>
  </si>
  <si>
    <t>Min. PV Spannung @ max. Temp.</t>
  </si>
  <si>
    <t>N.A.</t>
  </si>
  <si>
    <t>Vlak op boot (slechte ventilatie)</t>
  </si>
  <si>
    <t>Onder helling op boot (goede ventilatie)</t>
  </si>
  <si>
    <t>Op schuin dak warme omgeving (goede ventilatie)</t>
  </si>
  <si>
    <t>Op schuin dak gemiddelde omgeving (goede ventilatie)</t>
  </si>
  <si>
    <t>Op schuin dak in de bergen (goede ventilatie)</t>
  </si>
  <si>
    <t>Geneigt auf Boot (gute Hinterlüftung)</t>
  </si>
  <si>
    <t>Schrägdach, warme Umgebung (gute Hinterlüftung)</t>
  </si>
  <si>
    <t>Schrägdach, mittlere Regio (gute Hinterlüftung)</t>
  </si>
  <si>
    <t>Schrägdach, in Bergen (gute Hinterlüftung)</t>
  </si>
  <si>
    <t>* Leistung Begrenzung @ niedrige Temp.</t>
  </si>
  <si>
    <t>** Leistung Begrenzung @ hohe Temp.</t>
  </si>
  <si>
    <t>Módulo FV:</t>
  </si>
  <si>
    <t>En paralelo:</t>
  </si>
  <si>
    <t xml:space="preserve">Temp. módulo FV </t>
  </si>
  <si>
    <t>Reguladorr:</t>
  </si>
  <si>
    <t>Voltaje del sistema:</t>
  </si>
  <si>
    <t>Voltaje max. de entrada</t>
  </si>
  <si>
    <t>Voltaje max. FV @ Temperatura min.</t>
  </si>
  <si>
    <t>Voltaje min. de entrada  @ PMP</t>
  </si>
  <si>
    <t>Voltaje min. FV @ Temperatura max.</t>
  </si>
  <si>
    <t>Corriente max. de salida</t>
  </si>
  <si>
    <t>Corriente max. @ PMP temp. min.</t>
  </si>
  <si>
    <t>Corriente max. @ PMP temp. max.</t>
  </si>
  <si>
    <t>Configuración del módulo FV</t>
  </si>
  <si>
    <t>Ejemplos de lugares con temperaturas previstas:</t>
  </si>
  <si>
    <t>Plano sobre una autocaravana, durante todo el año (mala ventilación)</t>
  </si>
  <si>
    <t>Plano sobre una autocaravana, sólo en verano (mala ventilación)</t>
  </si>
  <si>
    <t>Plano sobre el techo de un barco (mala ventilación)</t>
  </si>
  <si>
    <t>Inclinado sobre el techo de un barco (buena ventilación)</t>
  </si>
  <si>
    <t>Techo inclinado en una región cálida (buena ventilación)</t>
  </si>
  <si>
    <t>Techo inclinado en una región templada (buena ventilación)</t>
  </si>
  <si>
    <t>Techo inclinado en las montañas (buena ventilación)</t>
  </si>
  <si>
    <t>* Reducción de potencia @ Temp. baja</t>
  </si>
  <si>
    <t>** Reducción de potencia @ Temp. alta</t>
  </si>
  <si>
    <t>Ventana de voltaje</t>
  </si>
  <si>
    <t>* Vermogens begrenzing @ lage temp.</t>
  </si>
  <si>
    <t>** Vermogens begrenzing @ hoge temp.</t>
  </si>
  <si>
    <t>Tension du système:</t>
  </si>
  <si>
    <t>Tension d'entrée max.:</t>
  </si>
  <si>
    <t>PV tension max. @ temp. min.</t>
  </si>
  <si>
    <t>PV tension min. @ temp. max.</t>
  </si>
  <si>
    <t>Tension d'entrée min. @ MPP</t>
  </si>
  <si>
    <t>Courant de sortie max.</t>
  </si>
  <si>
    <t>Courant max. @ MPP temp. min.</t>
  </si>
  <si>
    <t>Courant max. @ MPP temp. max.</t>
  </si>
  <si>
    <t>Beispiel Standort und erwartete Temperatur:</t>
  </si>
  <si>
    <t>Flach auf Wohnmobil, ganze Jahr (schlechte Hinterlüftung)</t>
  </si>
  <si>
    <t>Flach auf Wohnmobil, nur Sommer (schlechte Hinterlüftung)</t>
  </si>
  <si>
    <t>Flach auf Boot (schlechte Hinterlüftung)</t>
  </si>
  <si>
    <t>À plat sur ​​le bateau (mauvaise ventilation)</t>
  </si>
  <si>
    <t>* Limitation de puissance @ basse temp.</t>
  </si>
  <si>
    <t>** Limitation de puissance @ haute temp.</t>
  </si>
  <si>
    <t>Vlak op camper, gehele jaar (slechte ventilatie)</t>
  </si>
  <si>
    <t>Vlak op camper, alleen zomers (slechte ventilatie)</t>
  </si>
  <si>
    <t>* Power limiting @ low temp.</t>
  </si>
  <si>
    <t>** Power limiting @ high temp.</t>
  </si>
  <si>
    <t>Parallèle:</t>
  </si>
  <si>
    <t>Exemple de localisation de site avec la température attendue:</t>
  </si>
  <si>
    <t>À plat sur toit de camping-car  toute l'année (mauvaise ventilation)</t>
  </si>
  <si>
    <t>À plat sur camping-car , seulement l'été (mauvaise ventilation)</t>
  </si>
  <si>
    <t>Inclinée sur bateau (bonne ventilation)</t>
  </si>
  <si>
    <t>Toit en pente, en région chaude (bonne ventilation)</t>
  </si>
  <si>
    <t>Toit en pente, région tempérée (bonne ventilation)</t>
  </si>
  <si>
    <t>Toit en pente, en montagne (bonne ventilation)</t>
  </si>
  <si>
    <t>Fourchette de courant</t>
  </si>
  <si>
    <t>Panneau:</t>
  </si>
  <si>
    <t>Température Paneau:</t>
  </si>
  <si>
    <t>Régulateur:</t>
  </si>
  <si>
    <t>Configuration du panneau</t>
  </si>
  <si>
    <t>Modul Temperatur:</t>
  </si>
  <si>
    <t>Paneel temperatuur:</t>
  </si>
  <si>
    <t>Module temperature:</t>
  </si>
  <si>
    <t>Fourchette de tension</t>
  </si>
  <si>
    <t>Custom: 2XYZ</t>
  </si>
  <si>
    <t>2ABC</t>
  </si>
  <si>
    <t>1.6</t>
  </si>
  <si>
    <t>- Changed texts and Module temperature window.</t>
  </si>
  <si>
    <t>- Inserted 4 languages @ updated not applicable (N.A.) voltages for 75/15, 75/50 &amp; 100/15.</t>
  </si>
  <si>
    <t>- Inserted 4 new regulators and 2 more custom module.</t>
  </si>
  <si>
    <t>Custom: 3XYZ</t>
  </si>
  <si>
    <t>3ABC</t>
  </si>
  <si>
    <t xml:space="preserve">Voltage drop: </t>
  </si>
  <si>
    <t>1.7</t>
  </si>
  <si>
    <t>Cupper resistance</t>
  </si>
  <si>
    <t>String Vmpp corr.max.</t>
  </si>
  <si>
    <t>String Vmpp corr. min.</t>
  </si>
  <si>
    <t>Factor</t>
  </si>
  <si>
    <t>Cable length, Module to MPPT *</t>
  </si>
  <si>
    <t>* One way length</t>
  </si>
  <si>
    <t>Yes</t>
  </si>
  <si>
    <t>No</t>
  </si>
  <si>
    <t>Are the solar modules covered with snow many periods a year?</t>
  </si>
  <si>
    <t>* Enkele afstand</t>
  </si>
  <si>
    <t>Zijn de panelen gedurende veel periodes bedekt met sneeuw?</t>
  </si>
  <si>
    <t>Ja</t>
  </si>
  <si>
    <t>Nee</t>
  </si>
  <si>
    <t>Kabel Länge, Modul zum MPPT *</t>
  </si>
  <si>
    <t>Kabel lengte, paneel tot MPPT *</t>
  </si>
  <si>
    <t>* Einfache Distanz</t>
  </si>
  <si>
    <t>Sind die Solar Module öfters im Jahr bedeckt mit Schnee?</t>
  </si>
  <si>
    <t>Nein</t>
  </si>
  <si>
    <t>Oui</t>
  </si>
  <si>
    <t>Non</t>
  </si>
  <si>
    <t> * Longitud de un solo cable</t>
  </si>
  <si>
    <t> ¿Los módulos están cubiertos con nieve durante muchos períodos del año?</t>
  </si>
  <si>
    <t>Si</t>
  </si>
  <si>
    <t>Cross-section:</t>
  </si>
  <si>
    <t>Doorsnede:</t>
  </si>
  <si>
    <t>Querschnitt:</t>
  </si>
  <si>
    <t>Section:</t>
  </si>
  <si>
    <t>* La distance simple</t>
  </si>
  <si>
    <t>- Added new solar modules, voltage drop correction and an option to rise the cell temperature in the example list, when the solar modules do not see snow and therefor temperatures will not be so low.</t>
  </si>
  <si>
    <t>Vmpp</t>
  </si>
  <si>
    <t>Voc</t>
  </si>
  <si>
    <t>V temp coeff</t>
  </si>
  <si>
    <t>Flat on mobile home, all year (poor ventilation)</t>
  </si>
  <si>
    <t>Flat on mobile home, only summer (poor ventilation)</t>
  </si>
  <si>
    <t>[name]</t>
  </si>
  <si>
    <t>[W]</t>
  </si>
  <si>
    <t>[V]</t>
  </si>
  <si>
    <t>[A]</t>
  </si>
  <si>
    <t>[%/°C]</t>
  </si>
  <si>
    <t>If you have the voltage temperature coefficient in mV/°C, here is how to change it to %/°C</t>
  </si>
  <si>
    <t>Write the Voc value in Volt:</t>
  </si>
  <si>
    <t>Write the coefficient value in mV/°C:</t>
  </si>
  <si>
    <t>The coefficent value in %/°C is now:</t>
  </si>
  <si>
    <t>If you have the current temperature coefficient in mA/°C, here is how to change it to %/°C</t>
  </si>
  <si>
    <t>Write the Isc value in Ampere:</t>
  </si>
  <si>
    <t>Write the coefficient value in mA/°C:</t>
  </si>
  <si>
    <t>V</t>
  </si>
  <si>
    <t>mV/°C</t>
  </si>
  <si>
    <t>%/°C</t>
  </si>
  <si>
    <t>A</t>
  </si>
  <si>
    <t>mA/°C</t>
  </si>
  <si>
    <t>1.8</t>
  </si>
  <si>
    <t>- Added a small calculation on the 'Modules' TAB  to help when temperature coefficiences are not in %/°C or %/°K but in mV/°C or mA/°C</t>
  </si>
  <si>
    <t>Coefficient support:</t>
  </si>
  <si>
    <t>4ABC</t>
  </si>
  <si>
    <t>5ABC</t>
  </si>
  <si>
    <t>Custom: 4XYZ</t>
  </si>
  <si>
    <t>Custom: 5XYZ</t>
  </si>
  <si>
    <t>1.9</t>
  </si>
  <si>
    <t>Art.Nr.</t>
  </si>
  <si>
    <t>Custom: 6XYZ</t>
  </si>
  <si>
    <t>Custom: 7XYZ</t>
  </si>
  <si>
    <t>Custom: 8XYZ</t>
  </si>
  <si>
    <t>Custom: 9XYZ</t>
  </si>
  <si>
    <t>6ABC</t>
  </si>
  <si>
    <t>7ABC</t>
  </si>
  <si>
    <t>8ABC</t>
  </si>
  <si>
    <t>9ABC</t>
  </si>
  <si>
    <t>- Added new solar modules, and now 10 additional modules can be added instead of 3.</t>
  </si>
  <si>
    <t>Sección:</t>
  </si>
  <si>
    <t>Largo de cable entre modulo y MPPT *</t>
  </si>
  <si>
    <t>Cuantos módulos? En Serie:</t>
  </si>
  <si>
    <t>Ventana de corriente</t>
  </si>
  <si>
    <t>Les panneaux PV sont-ils souvent couverts de neige ?</t>
  </si>
  <si>
    <t>Accepted</t>
  </si>
  <si>
    <t>Accepté</t>
  </si>
  <si>
    <t>Aceptado</t>
  </si>
  <si>
    <t>Toegestaan</t>
  </si>
  <si>
    <t>NOT accepted</t>
  </si>
  <si>
    <t>NIET toegestaan</t>
  </si>
  <si>
    <t>PAS accepté</t>
  </si>
  <si>
    <t>NO aceptado</t>
  </si>
  <si>
    <t>Erlaubt</t>
  </si>
  <si>
    <t>NICHT erlaubt</t>
  </si>
  <si>
    <t>Longueur cable, Paneaux à MPPT *</t>
  </si>
  <si>
    <t>- Added the MPPT 75/10 and took out the discontinued 75/50</t>
  </si>
  <si>
    <t>2.0</t>
  </si>
  <si>
    <t>2.1</t>
  </si>
  <si>
    <t>- Inserted BlueSolar MPPT 100/15. Inserted custom module</t>
  </si>
  <si>
    <t>- Added the Poly module with 190Wp &amp; added the new VE.Direct MPPT's 150/45, 150/60 &amp; 150/70, small correction in cable loss voltage</t>
  </si>
  <si>
    <t>Total PV power @STC:</t>
  </si>
  <si>
    <t>Totale PV vermogen @STC:</t>
  </si>
  <si>
    <t>Potencia total FV @STC:</t>
  </si>
  <si>
    <t>PV Leistung insgesamt @STC:</t>
  </si>
  <si>
    <t>Puissance PV totale @STC:</t>
  </si>
  <si>
    <t>- Added the MPPT 150/85 Tr/MC4 and 150/100 Tr/MC4 &amp; added two cable sizes 16mm² &amp; 35mm²</t>
  </si>
  <si>
    <t>Charge current window</t>
  </si>
  <si>
    <t>Laadstroom venster</t>
  </si>
  <si>
    <t>Ingangspanning venster</t>
  </si>
  <si>
    <t>Ladestromfenster</t>
  </si>
  <si>
    <t>Attention: More than 30% oversized PV generator</t>
  </si>
  <si>
    <t>Attentie: Meer dan 30% overgedimensioneerde PV generator</t>
  </si>
  <si>
    <t>Achtung: Mehr als 30% überdimensionierte PV Generator</t>
  </si>
  <si>
    <t>Choosen PV power</t>
  </si>
  <si>
    <t>PV Power ratio</t>
  </si>
  <si>
    <t>If more than 1.3 the user becomes an alert that he/ she is oversizing the PV generator with more than 30%</t>
  </si>
  <si>
    <t>Possible charge power (from datasheet) without limiting PV power</t>
  </si>
  <si>
    <t>Atención, se ha sobredimensionado el generador FV más del 30%</t>
  </si>
  <si>
    <t>Attention, surdimensionnement PV supérieur à 30% ! Non recommandé financièrement !</t>
  </si>
  <si>
    <t>IPV max</t>
  </si>
  <si>
    <t>- This Excel gives an indication how to calculate Victron Energy MPPT's</t>
  </si>
  <si>
    <t>SPP20-12</t>
  </si>
  <si>
    <t xml:space="preserve">- Replaced solar modules according newest list. Added 2 SmartSolar MPPT's 250/85 &amp; 250/100 &amp; a remark when the PV generator is oversized. </t>
  </si>
  <si>
    <t>- Bug fixed for max. charge current calculations</t>
  </si>
  <si>
    <t>Coefficients de température:</t>
  </si>
  <si>
    <t>Si vous avez le Coefficient de température à tension de circuit ouvert  en mV/°C , voici comment changer ce coefficient en %/°C</t>
  </si>
  <si>
    <t>Ecrire la valeur de la VOC en Volt:</t>
  </si>
  <si>
    <t>Ecrire la valeur du coefficient en mV/°C:</t>
  </si>
  <si>
    <t>La valeur du coefficient en %/°C est de:</t>
  </si>
  <si>
    <t>Si vous avez le Coefficient de température à Courant de Court-Cicuit en mA/°C, voici comment changer ce coefficient en %/°C</t>
  </si>
  <si>
    <t>Ecrire la valeur de Isc en Ampère:</t>
  </si>
  <si>
    <t>Ecrire la valeur du coefficient en mA/°C:</t>
  </si>
  <si>
    <t>La valeur du coefficient en %/°C est de :</t>
  </si>
  <si>
    <t>Koeffizientenberechnung:</t>
  </si>
  <si>
    <t>Hier können Sie die Spannungskoeffizient von mV/°C in %/°C wandeln</t>
  </si>
  <si>
    <t>Schreiben Sie den Voc Wert in Volt:</t>
  </si>
  <si>
    <t>Der errechneter Koeffizient in %/°C ist jetzt:</t>
  </si>
  <si>
    <t>Hier können Sie die Stromkoeffizient von mA/°C in %/°C wandeln</t>
  </si>
  <si>
    <t>Schreiben Sie den Isc Wert in Ampere:</t>
  </si>
  <si>
    <t>Koefficient berekening:</t>
  </si>
  <si>
    <t>Schreiben Sie den Koeffizient Wert in mV/°C:</t>
  </si>
  <si>
    <t>Schreiben Sie den Koeffizient Wert in mA/°C:</t>
  </si>
  <si>
    <t>Schrijf hier de Voc waarde in Volt:</t>
  </si>
  <si>
    <t>Schrijf hier de Isc waarde in Ampere:</t>
  </si>
  <si>
    <t>Schrijf hier de koefficient waarde in mV/°C:</t>
  </si>
  <si>
    <t>Schrijf hier de koefficient waarde in mA/°C:</t>
  </si>
  <si>
    <t>De berekende koefficient in %/°C is nu:</t>
  </si>
  <si>
    <t>Hier kunt U de spanning koeffizient van mV/°C naar %/°C omrekenen</t>
  </si>
  <si>
    <t>Hier kunt U de stroom koeffizient van mA/°C naar %/°C omrekenen</t>
  </si>
  <si>
    <t>- Added translations for 'coefficient support' in the modules TAB</t>
  </si>
  <si>
    <t>Calculación de coeficiente de temperatura</t>
  </si>
  <si>
    <t>Escribir el valor de Voc (voltage de circuito abierto) en voltios</t>
  </si>
  <si>
    <t>Escribir el valor de coeficiente en mV/°C:</t>
  </si>
  <si>
    <t>El valor de coeficiente en %/°C es ahora:</t>
  </si>
  <si>
    <t>Escribir el valor de Isc (corriente de cortocircuito) en amperios</t>
  </si>
  <si>
    <t>Si tiene el coeficiente de temperatura actual en mA/°C, aquí es cómo cambiarlo a %/°C</t>
  </si>
  <si>
    <t>Si tiene el coeficiente de temperatura de voltaje en mV/°C, aquí es cómo cambiarlo a %/°C</t>
  </si>
  <si>
    <t>Escribir el valor de coeficiente en mA/°C:</t>
  </si>
  <si>
    <t>Blue-/ SmartSolar MPPT 75/10</t>
  </si>
  <si>
    <t>Blue-/ SmartSolar MPPT 75/15</t>
  </si>
  <si>
    <t>Blue-/ SmartSolar MPPT 100/15</t>
  </si>
  <si>
    <t>Blue-/ SmartSolar MPPT 100/30</t>
  </si>
  <si>
    <t>Blue-/ SmartSolar MPPT 100/50</t>
  </si>
  <si>
    <t>Blue-/ SmartSolar MPPT 150/35</t>
  </si>
  <si>
    <t>- Added Smart Regulators and SmartSolar 100/20</t>
  </si>
  <si>
    <t>Custom: 10XYZ</t>
  </si>
  <si>
    <t>10ABC</t>
  </si>
  <si>
    <t>SmartSolar MPPT 250/60 Tr/MC4</t>
  </si>
  <si>
    <t>Custom: 11XYZ</t>
  </si>
  <si>
    <t>11ABC</t>
  </si>
  <si>
    <t>Maximum power point PV current is higher than maximum regulator input current</t>
  </si>
  <si>
    <t>- Added 150Wp mono module, SmartSolar 250/60 &amp; 70 and maximum input current</t>
  </si>
  <si>
    <t>Warning: PV current is higher than MPPT max. input current</t>
  </si>
  <si>
    <t>Waarschuwing: PV stroom is hoger dan max. ingangstroom MPPT</t>
  </si>
  <si>
    <t xml:space="preserve">Attention! Le courant PV est supérieur au courant d’entrée maximum du MPPT </t>
  </si>
  <si>
    <t>Atención: la corriente FV es superior a la máxima corriente de entrada MPPT</t>
  </si>
  <si>
    <t>Warnung: PV Strom ist höher als max. erlaubter Eingangstrom MPPT</t>
  </si>
  <si>
    <t>Blue-/ SmartSolar MPPT 150/45 Tr/MC4</t>
  </si>
  <si>
    <t>Blue-/ SmartSolar MPPT 150/60 Tr/MC4</t>
  </si>
  <si>
    <t>- Added MPPT 100/20 48V &amp; exchanged new solar modules mono 160/200/340 &amp; poly 150/260/320Wp</t>
  </si>
  <si>
    <t>2.9</t>
  </si>
  <si>
    <t>SPM20-12</t>
  </si>
  <si>
    <t>SPM55-12</t>
  </si>
  <si>
    <t>18,5</t>
  </si>
  <si>
    <t>SPM040201200</t>
  </si>
  <si>
    <t>SPM040551200</t>
  </si>
  <si>
    <t>SPM175-12</t>
  </si>
  <si>
    <t>SPM041751200</t>
  </si>
  <si>
    <t>SPM305-20</t>
  </si>
  <si>
    <t>SPM043052000</t>
  </si>
  <si>
    <t>SPM360-24</t>
  </si>
  <si>
    <t>SPM043602400</t>
  </si>
  <si>
    <t>SPP60-12</t>
  </si>
  <si>
    <t>SPP040601200</t>
  </si>
  <si>
    <t>SPP040201200</t>
  </si>
  <si>
    <t>SPP040301200</t>
  </si>
  <si>
    <t>SPP175-12</t>
  </si>
  <si>
    <t>SPP041751200</t>
  </si>
  <si>
    <t>SPP330-24</t>
  </si>
  <si>
    <t>SPP043302400</t>
  </si>
  <si>
    <t>- Added new Victron solar modules</t>
  </si>
  <si>
    <t>°C</t>
  </si>
  <si>
    <t>°F</t>
  </si>
  <si>
    <t>3.0</t>
  </si>
  <si>
    <t>- Added Imperial system and reduced min. solar module temperature to -40°C</t>
  </si>
  <si>
    <t>SPM40-12</t>
  </si>
  <si>
    <t>SPM040401200</t>
  </si>
  <si>
    <t>SPM115-12</t>
  </si>
  <si>
    <t>SPM041151200</t>
  </si>
  <si>
    <t>SPP90-12</t>
  </si>
  <si>
    <t>SPP040901200</t>
  </si>
  <si>
    <t>3.1</t>
  </si>
  <si>
    <t>SPM90-12</t>
  </si>
  <si>
    <t xml:space="preserve">SPM040901200 </t>
  </si>
  <si>
    <t>SPM215-24</t>
  </si>
  <si>
    <t>SPM042152400</t>
  </si>
  <si>
    <t>SPP270-20</t>
  </si>
  <si>
    <t>SPP115-12</t>
  </si>
  <si>
    <t>SPP45-12</t>
  </si>
  <si>
    <t>SPP040451200</t>
  </si>
  <si>
    <t>SPP041151200</t>
  </si>
  <si>
    <t>SPP042702000</t>
  </si>
  <si>
    <t>3.2</t>
  </si>
  <si>
    <t>3.3</t>
  </si>
  <si>
    <t>Blue-/ SmartSolar MPPT 150/70 Tr/Tr VE.Can/MC4</t>
  </si>
  <si>
    <t>SmartSolar MPPT 150/100 Tr/Tr VE.Can/MC4</t>
  </si>
  <si>
    <t>SPM040301200</t>
  </si>
  <si>
    <t>SmartSolar MPPT 250/70 Tr/Tr VE.Can/MC4</t>
  </si>
  <si>
    <t>SmartSolar MPPT 250/100 Tr/Tr VE.Can/MC4</t>
  </si>
  <si>
    <t>3.4</t>
  </si>
  <si>
    <t>SmartSolar MPPT 150/85 Tr/Tr VE.Can/MC4</t>
  </si>
  <si>
    <t>SmartSolar MPPT 250/85 Tr/Tr VE.Can/MC4</t>
  </si>
  <si>
    <t>3.5</t>
  </si>
  <si>
    <r>
      <t>PORTUGU</t>
    </r>
    <r>
      <rPr>
        <b/>
        <sz val="9"/>
        <color theme="1"/>
        <rFont val="Calibri"/>
        <family val="2"/>
      </rPr>
      <t>Ê</t>
    </r>
    <r>
      <rPr>
        <b/>
        <sz val="9"/>
        <color theme="1"/>
        <rFont val="Calibri"/>
        <family val="2"/>
        <scheme val="minor"/>
      </rPr>
      <t>S</t>
    </r>
  </si>
  <si>
    <t>Módulo FV</t>
  </si>
  <si>
    <t>Quantos módulos? Em serie:</t>
  </si>
  <si>
    <t>Em paralelo</t>
  </si>
  <si>
    <t>Potência total FV @STC</t>
  </si>
  <si>
    <t>Controlador</t>
  </si>
  <si>
    <t xml:space="preserve">Voltagem do sistema </t>
  </si>
  <si>
    <t xml:space="preserve">Voltagem máxima de entrada </t>
  </si>
  <si>
    <t xml:space="preserve">Voltagem max FV@Temp min </t>
  </si>
  <si>
    <t>Voltagem min. de entrada  @ MPPT</t>
  </si>
  <si>
    <t>Voltagem min. FV @ Temperatura max.</t>
  </si>
  <si>
    <t>Corrente max. de saida</t>
  </si>
  <si>
    <t>Corrente max. @ MPPT temp. min.</t>
  </si>
  <si>
    <t>Corrente max. @ MPPT temp. max.</t>
  </si>
  <si>
    <t>Configuração do módulo FV</t>
  </si>
  <si>
    <t>Exemplos de localização com temperaturas previstas:</t>
  </si>
  <si>
    <t>Num plano reto no motorhome, durante todo o ano (má ventilação)</t>
  </si>
  <si>
    <t>Num plano reto no motorhome, somente no verão (má ventilação)</t>
  </si>
  <si>
    <t>Num plano reto no barco (má ventilação)</t>
  </si>
  <si>
    <t>Inclinado no barco (boa ventilação)</t>
  </si>
  <si>
    <t>Teto inclinado numa região quente (boa ventilação)</t>
  </si>
  <si>
    <t>Teto inclinado numa região templada (boa ventilação)</t>
  </si>
  <si>
    <t>Teto inclinado nas montanha - frio (boa ventilação)</t>
  </si>
  <si>
    <t>* Redução de potência @ Temp. baixa</t>
  </si>
  <si>
    <t>** Redução de potência @ Temp. alta</t>
  </si>
  <si>
    <t>Faixa de voltagem</t>
  </si>
  <si>
    <t>Faixa de corrente</t>
  </si>
  <si>
    <t>Corte transversal:</t>
  </si>
  <si>
    <t> ¿Vai cair neve nos modulos ?</t>
  </si>
  <si>
    <t>Sim</t>
  </si>
  <si>
    <t>Não</t>
  </si>
  <si>
    <t xml:space="preserve">Aceito </t>
  </si>
  <si>
    <t xml:space="preserve">NÃO aceito </t>
  </si>
  <si>
    <t>Nota: existe sobredimensionamento do gerador FV  de mais do 30%</t>
  </si>
  <si>
    <t>Calculo do coeficiente de temperatura</t>
  </si>
  <si>
    <t>Caso tiver o coeficiente de temperatura de voltagem em mV/°C, pode ser trocado para %/°C</t>
  </si>
  <si>
    <t>Escreve o valor do Voc (voltagem do circuito abierto) em volts</t>
  </si>
  <si>
    <t>Escreve o valor do coeficiente em mV/°C:</t>
  </si>
  <si>
    <t>O valor do coeficiente en %/°C agora:</t>
  </si>
  <si>
    <t>Se tem o coeficiente de temperatura atual em mA/°C, pode ser trocado para %/°C</t>
  </si>
  <si>
    <t>Escreve o valor do Isc (corrente de curtocircuito) em ampers</t>
  </si>
  <si>
    <t>Escreve o valor do coeficiente em mA/°C:</t>
  </si>
  <si>
    <t>O coeficiente em %/°C :</t>
  </si>
  <si>
    <t>Cuidado: A corrente FV é superior à máxima corrente de entrada do MPPT</t>
  </si>
  <si>
    <t>Comprimento do cabo entre o modulo e o MPPT *</t>
  </si>
  <si>
    <t>3.6</t>
  </si>
  <si>
    <t> * Distância de um só cabo</t>
  </si>
  <si>
    <t>3.7</t>
  </si>
  <si>
    <t>- Changed max input current of MPPT 100|30 and 100|50</t>
  </si>
  <si>
    <t>- Added Portuguese language</t>
  </si>
  <si>
    <t>- Added new VE.Can MPPT's 150/85 &amp; 250/85 VE.Can</t>
  </si>
  <si>
    <t>- Added new VE.Can MPPT's 250/70 &amp; 250/100 VE.Can</t>
  </si>
  <si>
    <t>- Added new VE.Can MPPT's and deleted old VE.Can MPPT's 150/70 &amp; 150/85</t>
  </si>
  <si>
    <t>- Added new Victron solar modules inserted new VE.Can MPPT's and deleted old VE.Can MPPT's 150/70 &amp; 150/85</t>
  </si>
  <si>
    <t>3.8</t>
  </si>
  <si>
    <t>- Added the new Blue- &amp; Smart 100|20 for 12, 24, 36 &amp; 48V</t>
  </si>
  <si>
    <t xml:space="preserve"> Blue- &amp; SmartSolar MPPT charge controller </t>
  </si>
  <si>
    <t xml:space="preserve"> MPPT RS charge controller </t>
  </si>
  <si>
    <t>RS Model</t>
  </si>
  <si>
    <t>SmartSolar MPPT RS 450/100</t>
  </si>
  <si>
    <t>RESULTS Blue- &amp; SmartSolar :</t>
  </si>
  <si>
    <t>String1:</t>
  </si>
  <si>
    <t>RESULTS MPPT RS String 1 :</t>
  </si>
  <si>
    <t>String 2:</t>
  </si>
  <si>
    <t>DATA MPPT RS String 1:</t>
  </si>
  <si>
    <t>DATA MPPT RS String 2:</t>
  </si>
  <si>
    <t>RESULTS MPPT RS String 2 :</t>
  </si>
  <si>
    <t>TOTAL Impp PV max.</t>
  </si>
  <si>
    <t>Max. total current @ MPP min. temp.</t>
  </si>
  <si>
    <t>Max. total output current</t>
  </si>
  <si>
    <t>Max. total current @ MPP max. temp.</t>
  </si>
  <si>
    <t>No module</t>
  </si>
  <si>
    <t>Battery float voltage</t>
  </si>
  <si>
    <t>Input voltage window string</t>
  </si>
  <si>
    <t>Accu float spanning</t>
  </si>
  <si>
    <t>Max. totale uitgangsstroom</t>
  </si>
  <si>
    <t>Max. totale stroom @ MPP min. temp.</t>
  </si>
  <si>
    <t>Max. totale stroom @ MPP max. temp.</t>
  </si>
  <si>
    <t>3.9</t>
  </si>
  <si>
    <t>- Added new MPPT RS 450|100 on new TAB</t>
  </si>
  <si>
    <t>Max. totale Ausgangstrom</t>
  </si>
  <si>
    <t>Max. totale Strom @ MPP min. Temp.</t>
  </si>
  <si>
    <t>Max. totale Strom @ MPP max. Temp.</t>
  </si>
  <si>
    <t>Eingangspannungsfenster String</t>
  </si>
  <si>
    <t>Batterie Float Spannung</t>
  </si>
  <si>
    <t>Courant de sortie total max</t>
  </si>
  <si>
    <t>Courant max total @ MPP temp. min.</t>
  </si>
  <si>
    <t>Courant max total @ MPP temp. max.</t>
  </si>
  <si>
    <t>Tension de batterie float</t>
  </si>
  <si>
    <r>
      <t>ESPA</t>
    </r>
    <r>
      <rPr>
        <b/>
        <sz val="9"/>
        <color theme="1"/>
        <rFont val="Calibri"/>
        <family val="2"/>
      </rPr>
      <t>Ñ</t>
    </r>
    <r>
      <rPr>
        <b/>
        <sz val="9"/>
        <color theme="1"/>
        <rFont val="Calibri"/>
        <family val="2"/>
        <scheme val="minor"/>
      </rPr>
      <t>OL</t>
    </r>
  </si>
  <si>
    <t>String PV power @STC</t>
  </si>
  <si>
    <t>Waarschuwing: laadvermogen wordt reduceerd tot max MPPT tracker vermogen</t>
  </si>
  <si>
    <t>Warnung: ladeleistung wird auf max MPPT Tracker Leistung reduziert</t>
  </si>
  <si>
    <t>PV string power @STC</t>
  </si>
  <si>
    <t>PV string vermogen @STC</t>
  </si>
  <si>
    <t>PV Stringleistung @STC</t>
  </si>
  <si>
    <t>Warning: charge power is reduced to max MPPT Tracker power</t>
  </si>
  <si>
    <t>Max. corriente total  de salida</t>
  </si>
  <si>
    <t>Max. corriente total  @ MPP temp. min.</t>
  </si>
  <si>
    <t>Max. corriente total  @ MPP temp. max.</t>
  </si>
  <si>
    <t>Voltaje de la batería en flotación</t>
  </si>
  <si>
    <t>Advertencia: la potencia de carga se reduce a la salida máxima del seguidor MPPT</t>
  </si>
  <si>
    <t>Potencia de la cadena FV  @STC</t>
  </si>
  <si>
    <t>Corrente saída máxima</t>
  </si>
  <si>
    <t>Máx. corrente total @ MPP temp. min.</t>
  </si>
  <si>
    <t>Máx. corrente total @ MPP temp. máx.</t>
  </si>
  <si>
    <t>Tensão de flutuação da bateria</t>
  </si>
  <si>
    <t>Atenção, a potência de carga é reduzida ao valor máximo de saída do seguidor do ponto de potência máxima</t>
  </si>
  <si>
    <t>Potência da série fotovoltaica @STC</t>
  </si>
  <si>
    <t>Attention : puissance de charge réduite à la puissance de tracker MPPT max.</t>
  </si>
  <si>
    <t>Puissance de chaine PV @ STC</t>
  </si>
  <si>
    <t>Itracker</t>
  </si>
  <si>
    <t>Itracker max</t>
  </si>
  <si>
    <t>Blue- /Smart Solar MPPT 100/20</t>
  </si>
  <si>
    <t>BHO 01-2021 4.0</t>
  </si>
  <si>
    <t>4.0</t>
  </si>
  <si>
    <t>Custom: 1XYZ</t>
  </si>
  <si>
    <t>Custom: 12XYZ</t>
  </si>
  <si>
    <t>1ABC</t>
  </si>
  <si>
    <t>12ABC</t>
  </si>
  <si>
    <t>- Removed 2 old solar panels, the separate SmartSolar MPPT 100/20, now only the 48V version is visible &amp; changed eff. of RS MPPT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</si>
</sst>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164" formatCode="General\ &quot;°C&quot;"/>
    <numFmt numFmtId="165" formatCode="General\ &quot;V&quot;"/>
    <numFmt numFmtId="166" formatCode="0.0\ &quot;V&quot;"/>
    <numFmt numFmtId="167" formatCode="0.000\ &quot;%/°C&quot;"/>
    <numFmt numFmtId="168" formatCode="0.0"/>
    <numFmt numFmtId="169" formatCode="0.0\ &quot;A&quot;"/>
    <numFmt numFmtId="170" formatCode="0.000\ &quot;V/°C&quot;"/>
    <numFmt numFmtId="171" formatCode="0.00\ &quot;A&quot;"/>
    <numFmt numFmtId="172" formatCode="0.000\ &quot;A/°C&quot;"/>
    <numFmt numFmtId="173" formatCode="General\ &quot;A&quot;"/>
    <numFmt numFmtId="174" formatCode="&quot;(Col&quot;\ General\ &quot;)&quot;"/>
    <numFmt numFmtId="175" formatCode="&quot;+&quot;\ General\ &quot;V&quot;"/>
    <numFmt numFmtId="176" formatCode="0.0000\ &quot;Ohm/mm²/m&quot;"/>
    <numFmt numFmtId="177" formatCode="0.000"/>
    <numFmt numFmtId="178" formatCode="0.0\ &quot;mm²&quot;"/>
    <numFmt numFmtId="179" formatCode="General\ &quot;m&quot;"/>
    <numFmt numFmtId="180" formatCode="0\ &quot;Wp&quot;"/>
    <numFmt numFmtId="181" formatCode="0.00\ &quot;&quot;"/>
    <numFmt numFmtId="182" formatCode="General\ &quot;°F&quot;"/>
    <numFmt numFmtId="183" formatCode="0.00\ &quot;V&quot;"/>
    <numFmt numFmtId="184" formatCode="General\ \ &quot;A&quot;"/>
  </numFmts>
  <fonts count="17" x14ac:knownFonts="1">
    <font>
      <sz val="11"/>
      <color theme="1"/>
      <name val="Calibri"/>
      <family val="2"/>
      <scheme val="minor"/>
    </font>
    <font>
      <sz val="11"/>
      <color theme="0"/>
      <name val="Calibri"/>
      <family val="2"/>
      <scheme val="minor"/>
    </font>
    <font>
      <b/>
      <sz val="11"/>
      <color theme="1"/>
      <name val="Calibri"/>
      <family val="2"/>
      <scheme val="minor"/>
    </font>
    <font>
      <sz val="11"/>
      <color rgb="FFFF0000"/>
      <name val="Calibri"/>
      <family val="2"/>
      <scheme val="minor"/>
    </font>
    <font>
      <sz val="9"/>
      <color theme="1"/>
      <name val="Calibri"/>
      <family val="2"/>
      <scheme val="minor"/>
    </font>
    <font>
      <sz val="11"/>
      <color theme="3" tint="0.59999389629810485"/>
      <name val="Calibri"/>
      <family val="2"/>
      <scheme val="minor"/>
    </font>
    <font>
      <u/>
      <sz val="11"/>
      <color theme="10"/>
      <name val="Calibri"/>
      <family val="2"/>
      <scheme val="minor"/>
    </font>
    <font>
      <b/>
      <sz val="11"/>
      <name val="Calibri"/>
      <family val="2"/>
      <scheme val="minor"/>
    </font>
    <font>
      <sz val="11"/>
      <color rgb="FF000000"/>
      <name val="Calibri"/>
      <family val="2"/>
      <scheme val="minor"/>
    </font>
    <font>
      <sz val="11"/>
      <color theme="1" tint="0.499984740745262"/>
      <name val="Calibri"/>
      <family val="2"/>
      <scheme val="minor"/>
    </font>
    <font>
      <b/>
      <sz val="9"/>
      <color theme="1"/>
      <name val="Calibri"/>
      <family val="2"/>
      <scheme val="minor"/>
    </font>
    <font>
      <i/>
      <sz val="11"/>
      <color theme="1"/>
      <name val="Calibri"/>
      <family val="2"/>
      <scheme val="minor"/>
    </font>
    <font>
      <sz val="9"/>
      <color theme="0"/>
      <name val="Calibri"/>
      <family val="2"/>
      <scheme val="minor"/>
    </font>
    <font>
      <b/>
      <sz val="11"/>
      <color theme="0"/>
      <name val="Calibri"/>
      <family val="2"/>
      <scheme val="minor"/>
    </font>
    <font>
      <sz val="11"/>
      <color theme="0" tint="-0.14999847407452621"/>
      <name val="Calibri"/>
      <family val="2"/>
      <scheme val="minor"/>
    </font>
    <font>
      <b/>
      <sz val="9"/>
      <color theme="1"/>
      <name val="Calibri"/>
      <family val="2"/>
    </font>
    <font>
      <sz val="8"/>
      <color theme="1"/>
      <name val="Calibri"/>
      <family val="2"/>
      <scheme val="minor"/>
    </font>
  </fonts>
  <fills count="10">
    <fill>
      <patternFill patternType="none"/>
    </fill>
    <fill>
      <patternFill patternType="gray125"/>
    </fill>
    <fill>
      <patternFill patternType="solid">
        <fgColor theme="3" tint="0.59999389629810485"/>
        <bgColor indexed="64"/>
      </patternFill>
    </fill>
    <fill>
      <patternFill patternType="solid">
        <fgColor theme="1"/>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14999847407452621"/>
        <bgColor indexed="64"/>
      </patternFill>
    </fill>
    <fill>
      <patternFill patternType="solid">
        <fgColor rgb="FFF2F2F2"/>
        <bgColor indexed="64"/>
      </patternFill>
    </fill>
    <fill>
      <patternFill patternType="solid">
        <fgColor rgb="FFD9D9D9"/>
        <bgColor indexed="64"/>
      </patternFill>
    </fill>
    <fill>
      <patternFill patternType="solid">
        <fgColor rgb="FF92D050"/>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s>
  <cellStyleXfs count="2">
    <xf numFmtId="0" fontId="0" fillId="0" borderId="0"/>
    <xf numFmtId="0" fontId="6" fillId="0" borderId="0" applyNumberFormat="0" applyFill="0" applyBorder="0" applyAlignment="0" applyProtection="0"/>
  </cellStyleXfs>
  <cellXfs count="222">
    <xf numFmtId="0" fontId="0" fillId="0" borderId="0" xfId="0"/>
    <xf numFmtId="0" fontId="0" fillId="2" borderId="0" xfId="0" applyFill="1"/>
    <xf numFmtId="0" fontId="0" fillId="3" borderId="0" xfId="0" applyFill="1"/>
    <xf numFmtId="0" fontId="0" fillId="4" borderId="0" xfId="0" applyFill="1"/>
    <xf numFmtId="166" fontId="0" fillId="4" borderId="0" xfId="0" applyNumberFormat="1" applyFill="1"/>
    <xf numFmtId="0" fontId="0" fillId="5" borderId="1" xfId="0" applyFill="1" applyBorder="1" applyAlignment="1" applyProtection="1">
      <alignment horizontal="center"/>
      <protection locked="0"/>
    </xf>
    <xf numFmtId="0" fontId="0" fillId="2" borderId="0" xfId="0" applyFill="1" applyBorder="1" applyProtection="1">
      <protection locked="0"/>
    </xf>
    <xf numFmtId="0" fontId="0" fillId="0" borderId="0" xfId="0" applyProtection="1"/>
    <xf numFmtId="0" fontId="0" fillId="5" borderId="0" xfId="0" applyFill="1" applyBorder="1" applyProtection="1"/>
    <xf numFmtId="0" fontId="0" fillId="2" borderId="0" xfId="0" applyFill="1" applyBorder="1" applyProtection="1"/>
    <xf numFmtId="0" fontId="0" fillId="2" borderId="0" xfId="0" applyFill="1" applyBorder="1" applyAlignment="1" applyProtection="1">
      <alignment horizontal="right"/>
    </xf>
    <xf numFmtId="0" fontId="0" fillId="2" borderId="3" xfId="0" applyFill="1" applyBorder="1" applyProtection="1"/>
    <xf numFmtId="0" fontId="0" fillId="2" borderId="8" xfId="0" applyFill="1" applyBorder="1" applyProtection="1"/>
    <xf numFmtId="0" fontId="0" fillId="2" borderId="0" xfId="0" applyFont="1" applyFill="1" applyBorder="1" applyAlignment="1" applyProtection="1">
      <alignment horizontal="center"/>
      <protection locked="0"/>
    </xf>
    <xf numFmtId="0" fontId="2" fillId="5" borderId="10" xfId="0" applyFont="1" applyFill="1" applyBorder="1" applyProtection="1"/>
    <xf numFmtId="0" fontId="2" fillId="5" borderId="10" xfId="0" applyFont="1" applyFill="1" applyBorder="1" applyAlignment="1" applyProtection="1">
      <alignment horizontal="center"/>
    </xf>
    <xf numFmtId="0" fontId="0" fillId="6" borderId="0" xfId="0" applyFill="1"/>
    <xf numFmtId="164" fontId="0" fillId="6" borderId="0" xfId="0" applyNumberFormat="1" applyFill="1"/>
    <xf numFmtId="166" fontId="0" fillId="6" borderId="0" xfId="0" applyNumberFormat="1" applyFill="1"/>
    <xf numFmtId="171" fontId="0" fillId="6" borderId="0" xfId="0" applyNumberFormat="1" applyFill="1"/>
    <xf numFmtId="167" fontId="0" fillId="6" borderId="0" xfId="0" applyNumberFormat="1" applyFill="1"/>
    <xf numFmtId="170" fontId="0" fillId="6" borderId="0" xfId="0" applyNumberFormat="1" applyFill="1"/>
    <xf numFmtId="172" fontId="0" fillId="6" borderId="0" xfId="0" applyNumberFormat="1" applyFill="1"/>
    <xf numFmtId="169" fontId="0" fillId="6" borderId="0" xfId="0" applyNumberFormat="1" applyFill="1"/>
    <xf numFmtId="165" fontId="0" fillId="6" borderId="0" xfId="0" applyNumberFormat="1" applyFill="1"/>
    <xf numFmtId="174" fontId="0" fillId="6" borderId="0" xfId="0" applyNumberFormat="1" applyFill="1" applyAlignment="1">
      <alignment horizontal="left"/>
    </xf>
    <xf numFmtId="0" fontId="0" fillId="4" borderId="0" xfId="0" applyFill="1" applyAlignment="1">
      <alignment horizontal="center"/>
    </xf>
    <xf numFmtId="0" fontId="0" fillId="6" borderId="0" xfId="0" applyFill="1" applyAlignment="1">
      <alignment horizontal="center"/>
    </xf>
    <xf numFmtId="164" fontId="0" fillId="6" borderId="0" xfId="0" applyNumberFormat="1" applyFill="1" applyAlignment="1">
      <alignment horizontal="center"/>
    </xf>
    <xf numFmtId="166" fontId="0" fillId="6" borderId="0" xfId="0" applyNumberFormat="1" applyFill="1" applyAlignment="1">
      <alignment horizontal="center"/>
    </xf>
    <xf numFmtId="168" fontId="0" fillId="6" borderId="0" xfId="0" applyNumberFormat="1" applyFill="1" applyAlignment="1">
      <alignment horizontal="center"/>
    </xf>
    <xf numFmtId="169" fontId="0" fillId="6" borderId="0" xfId="0" applyNumberFormat="1" applyFill="1" applyAlignment="1">
      <alignment horizontal="center"/>
    </xf>
    <xf numFmtId="171" fontId="0" fillId="6" borderId="0" xfId="0" applyNumberFormat="1" applyFill="1" applyAlignment="1">
      <alignment horizontal="center"/>
    </xf>
    <xf numFmtId="165" fontId="0" fillId="6" borderId="0" xfId="0" applyNumberFormat="1" applyFill="1" applyAlignment="1">
      <alignment horizontal="center"/>
    </xf>
    <xf numFmtId="165" fontId="0" fillId="2" borderId="3" xfId="0" applyNumberFormat="1" applyFill="1" applyBorder="1" applyAlignment="1" applyProtection="1">
      <alignment horizontal="center"/>
    </xf>
    <xf numFmtId="166" fontId="0" fillId="2" borderId="0" xfId="0" applyNumberFormat="1" applyFill="1" applyBorder="1" applyAlignment="1" applyProtection="1">
      <alignment horizontal="center"/>
    </xf>
    <xf numFmtId="173" fontId="0" fillId="2" borderId="0" xfId="0" applyNumberFormat="1" applyFill="1" applyBorder="1" applyAlignment="1" applyProtection="1">
      <alignment horizontal="center"/>
    </xf>
    <xf numFmtId="169" fontId="0" fillId="2" borderId="0" xfId="0" applyNumberFormat="1" applyFill="1" applyBorder="1" applyAlignment="1" applyProtection="1">
      <alignment horizontal="center"/>
    </xf>
    <xf numFmtId="0" fontId="0" fillId="5" borderId="0" xfId="0" applyFill="1"/>
    <xf numFmtId="0" fontId="0" fillId="5" borderId="0" xfId="0" applyFont="1" applyFill="1" applyAlignment="1">
      <alignment horizontal="center"/>
    </xf>
    <xf numFmtId="0" fontId="0" fillId="5" borderId="0" xfId="0" applyFill="1" applyAlignment="1">
      <alignment horizontal="center"/>
    </xf>
    <xf numFmtId="0" fontId="0" fillId="5" borderId="10" xfId="0" applyFill="1" applyBorder="1" applyProtection="1"/>
    <xf numFmtId="166" fontId="0" fillId="2" borderId="8" xfId="0" applyNumberFormat="1" applyFill="1" applyBorder="1" applyAlignment="1" applyProtection="1">
      <alignment horizontal="center"/>
    </xf>
    <xf numFmtId="0" fontId="0" fillId="5" borderId="0" xfId="0" applyFill="1" applyProtection="1"/>
    <xf numFmtId="0" fontId="4" fillId="5" borderId="0" xfId="0" applyFont="1" applyFill="1" applyProtection="1"/>
    <xf numFmtId="0" fontId="2" fillId="5" borderId="0" xfId="0" applyFont="1" applyFill="1" applyProtection="1"/>
    <xf numFmtId="0" fontId="5" fillId="2" borderId="0" xfId="0" applyFont="1" applyFill="1" applyBorder="1" applyProtection="1"/>
    <xf numFmtId="0" fontId="0" fillId="5" borderId="6" xfId="0" applyFill="1" applyBorder="1" applyAlignment="1">
      <alignment horizontal="right"/>
    </xf>
    <xf numFmtId="0" fontId="1" fillId="5" borderId="0" xfId="0" applyFont="1" applyFill="1" applyAlignment="1" applyProtection="1">
      <alignment horizontal="center"/>
    </xf>
    <xf numFmtId="164" fontId="1" fillId="4" borderId="0" xfId="0" applyNumberFormat="1" applyFont="1" applyFill="1"/>
    <xf numFmtId="0" fontId="0" fillId="4" borderId="0" xfId="0" quotePrefix="1" applyFill="1"/>
    <xf numFmtId="0" fontId="2" fillId="2" borderId="6" xfId="0" applyFont="1" applyFill="1" applyBorder="1" applyAlignment="1">
      <alignment horizontal="right"/>
    </xf>
    <xf numFmtId="0" fontId="0" fillId="6" borderId="6" xfId="0" quotePrefix="1" applyFill="1" applyBorder="1" applyAlignment="1">
      <alignment horizontal="right"/>
    </xf>
    <xf numFmtId="168" fontId="0" fillId="6" borderId="6" xfId="0" quotePrefix="1" applyNumberFormat="1" applyFill="1" applyBorder="1" applyAlignment="1">
      <alignment horizontal="right"/>
    </xf>
    <xf numFmtId="0" fontId="2" fillId="2" borderId="1" xfId="0" applyFont="1" applyFill="1" applyBorder="1" applyAlignment="1">
      <alignment horizontal="center"/>
    </xf>
    <xf numFmtId="0" fontId="2" fillId="2" borderId="1" xfId="0" quotePrefix="1" applyFont="1" applyFill="1" applyBorder="1" applyAlignment="1">
      <alignment horizontal="center"/>
    </xf>
    <xf numFmtId="0" fontId="2" fillId="6" borderId="1" xfId="0" applyFont="1" applyFill="1" applyBorder="1" applyAlignment="1">
      <alignment horizontal="center"/>
    </xf>
    <xf numFmtId="0" fontId="0" fillId="4" borderId="1" xfId="0" applyFill="1" applyBorder="1" applyAlignment="1">
      <alignment horizontal="center"/>
    </xf>
    <xf numFmtId="0" fontId="0" fillId="4" borderId="1" xfId="0" quotePrefix="1" applyFill="1" applyBorder="1" applyAlignment="1">
      <alignment horizontal="center"/>
    </xf>
    <xf numFmtId="175" fontId="0" fillId="4" borderId="1" xfId="0" applyNumberFormat="1" applyFill="1" applyBorder="1" applyAlignment="1">
      <alignment horizontal="center"/>
    </xf>
    <xf numFmtId="0" fontId="2" fillId="6" borderId="1" xfId="0" applyFont="1" applyFill="1" applyBorder="1"/>
    <xf numFmtId="0" fontId="2" fillId="4" borderId="11" xfId="0" applyFont="1" applyFill="1" applyBorder="1"/>
    <xf numFmtId="0" fontId="0" fillId="4" borderId="12" xfId="0" applyFill="1" applyBorder="1" applyProtection="1"/>
    <xf numFmtId="0" fontId="0" fillId="6" borderId="11" xfId="0" applyFill="1" applyBorder="1"/>
    <xf numFmtId="0" fontId="0" fillId="6" borderId="12" xfId="0" applyFill="1" applyBorder="1" applyProtection="1"/>
    <xf numFmtId="0" fontId="4" fillId="5" borderId="0" xfId="0" applyFont="1" applyFill="1" applyAlignment="1" applyProtection="1">
      <alignment horizontal="right"/>
    </xf>
    <xf numFmtId="0" fontId="0" fillId="2" borderId="0" xfId="0" applyNumberFormat="1" applyFill="1" applyBorder="1" applyAlignment="1" applyProtection="1">
      <alignment horizontal="right"/>
    </xf>
    <xf numFmtId="0" fontId="7" fillId="5" borderId="0" xfId="1" applyFont="1" applyFill="1" applyBorder="1" applyAlignment="1" applyProtection="1">
      <alignment vertical="center"/>
    </xf>
    <xf numFmtId="0" fontId="0" fillId="4" borderId="1" xfId="0" applyFont="1" applyFill="1" applyBorder="1" applyAlignment="1">
      <alignment horizontal="center"/>
    </xf>
    <xf numFmtId="0" fontId="0" fillId="4" borderId="1" xfId="0" quotePrefix="1" applyFont="1" applyFill="1" applyBorder="1" applyAlignment="1">
      <alignment horizontal="center"/>
    </xf>
    <xf numFmtId="175" fontId="0" fillId="4" borderId="1" xfId="0" applyNumberFormat="1" applyFont="1" applyFill="1" applyBorder="1" applyAlignment="1">
      <alignment horizontal="center"/>
    </xf>
    <xf numFmtId="0" fontId="8" fillId="2" borderId="0" xfId="0" applyFont="1" applyFill="1" applyBorder="1" applyProtection="1"/>
    <xf numFmtId="0" fontId="0" fillId="7" borderId="0" xfId="0" applyFill="1"/>
    <xf numFmtId="166" fontId="0" fillId="7" borderId="0" xfId="0" applyNumberFormat="1" applyFill="1"/>
    <xf numFmtId="0" fontId="0" fillId="7" borderId="0" xfId="0" quotePrefix="1" applyFill="1"/>
    <xf numFmtId="0" fontId="0" fillId="8" borderId="6" xfId="0" quotePrefix="1" applyFill="1" applyBorder="1" applyAlignment="1">
      <alignment horizontal="right"/>
    </xf>
    <xf numFmtId="176" fontId="0" fillId="6" borderId="0" xfId="0" applyNumberFormat="1" applyFill="1"/>
    <xf numFmtId="177" fontId="0" fillId="6" borderId="0" xfId="0" applyNumberFormat="1" applyFill="1"/>
    <xf numFmtId="0" fontId="9" fillId="6" borderId="0" xfId="0" applyFont="1" applyFill="1" applyAlignment="1">
      <alignment horizontal="center"/>
    </xf>
    <xf numFmtId="166" fontId="9" fillId="6" borderId="0" xfId="0" applyNumberFormat="1" applyFont="1" applyFill="1" applyAlignment="1">
      <alignment horizontal="center"/>
    </xf>
    <xf numFmtId="0" fontId="0" fillId="7" borderId="12" xfId="0" applyFill="1" applyBorder="1" applyProtection="1"/>
    <xf numFmtId="0" fontId="0" fillId="7" borderId="12" xfId="0" applyFill="1" applyBorder="1" applyAlignment="1" applyProtection="1">
      <alignment horizontal="right"/>
    </xf>
    <xf numFmtId="0" fontId="0" fillId="7" borderId="14" xfId="0" applyFill="1" applyBorder="1" applyProtection="1"/>
    <xf numFmtId="0" fontId="10" fillId="5" borderId="0" xfId="0" applyFont="1" applyFill="1"/>
    <xf numFmtId="0" fontId="4" fillId="5" borderId="0" xfId="0" applyFont="1" applyFill="1" applyAlignment="1">
      <alignment horizontal="center"/>
    </xf>
    <xf numFmtId="0" fontId="4" fillId="5" borderId="0" xfId="0" applyFont="1" applyFill="1"/>
    <xf numFmtId="0" fontId="10" fillId="2" borderId="1" xfId="0" applyFont="1" applyFill="1" applyBorder="1"/>
    <xf numFmtId="0" fontId="10" fillId="6" borderId="0" xfId="0" applyFont="1" applyFill="1"/>
    <xf numFmtId="0" fontId="4" fillId="4" borderId="0" xfId="0" applyFont="1" applyFill="1"/>
    <xf numFmtId="0" fontId="4" fillId="7" borderId="0" xfId="0" applyFont="1" applyFill="1"/>
    <xf numFmtId="0" fontId="10" fillId="8" borderId="0" xfId="0" applyFont="1" applyFill="1"/>
    <xf numFmtId="0" fontId="2" fillId="2" borderId="1" xfId="0" applyFont="1" applyFill="1" applyBorder="1" applyAlignment="1">
      <alignment horizontal="center"/>
    </xf>
    <xf numFmtId="0" fontId="2" fillId="2" borderId="1" xfId="0" applyFont="1" applyFill="1" applyBorder="1" applyAlignment="1">
      <alignment horizontal="center"/>
    </xf>
    <xf numFmtId="0" fontId="0" fillId="2" borderId="8" xfId="0" applyFill="1" applyBorder="1" applyAlignment="1">
      <alignment horizontal="center"/>
    </xf>
    <xf numFmtId="177" fontId="0" fillId="9" borderId="1" xfId="0" applyNumberFormat="1" applyFill="1" applyBorder="1" applyAlignment="1">
      <alignment horizontal="center"/>
    </xf>
    <xf numFmtId="0" fontId="2" fillId="2" borderId="11" xfId="0" applyFont="1" applyFill="1" applyBorder="1" applyAlignment="1">
      <alignment horizontal="left"/>
    </xf>
    <xf numFmtId="0" fontId="0" fillId="2" borderId="12" xfId="0" applyFill="1" applyBorder="1" applyAlignment="1">
      <alignment horizontal="center"/>
    </xf>
    <xf numFmtId="0" fontId="0" fillId="2" borderId="14" xfId="0" applyFill="1" applyBorder="1" applyAlignment="1">
      <alignment horizontal="center"/>
    </xf>
    <xf numFmtId="0" fontId="11" fillId="2" borderId="5" xfId="0" applyFont="1" applyFill="1" applyBorder="1" applyAlignment="1">
      <alignment horizontal="left"/>
    </xf>
    <xf numFmtId="0" fontId="0" fillId="2" borderId="0" xfId="0" applyFill="1" applyBorder="1" applyAlignment="1">
      <alignment horizontal="center"/>
    </xf>
    <xf numFmtId="0" fontId="0" fillId="2" borderId="6" xfId="0" applyFill="1" applyBorder="1" applyAlignment="1">
      <alignment horizontal="center"/>
    </xf>
    <xf numFmtId="0" fontId="0" fillId="2" borderId="5" xfId="0" applyFont="1" applyFill="1" applyBorder="1" applyAlignment="1">
      <alignment horizontal="left"/>
    </xf>
    <xf numFmtId="0" fontId="0" fillId="2" borderId="0" xfId="0" applyFill="1" applyBorder="1" applyAlignment="1">
      <alignment horizontal="left"/>
    </xf>
    <xf numFmtId="0" fontId="0" fillId="2" borderId="5" xfId="0" applyFont="1" applyFill="1" applyBorder="1" applyAlignment="1">
      <alignment horizontal="center"/>
    </xf>
    <xf numFmtId="0" fontId="0" fillId="2" borderId="7" xfId="0" applyFont="1" applyFill="1" applyBorder="1" applyAlignment="1">
      <alignment horizontal="center"/>
    </xf>
    <xf numFmtId="0" fontId="0" fillId="2" borderId="9" xfId="0" applyFill="1" applyBorder="1" applyAlignment="1">
      <alignment horizontal="center"/>
    </xf>
    <xf numFmtId="0" fontId="2" fillId="5" borderId="0" xfId="0" applyFont="1" applyFill="1" applyBorder="1" applyAlignment="1">
      <alignment horizontal="center"/>
    </xf>
    <xf numFmtId="0" fontId="12" fillId="5" borderId="0" xfId="0" applyFont="1" applyFill="1" applyBorder="1" applyAlignment="1" applyProtection="1">
      <alignment horizontal="left"/>
      <protection locked="0" hidden="1"/>
    </xf>
    <xf numFmtId="0" fontId="2" fillId="2" borderId="1" xfId="0" applyFont="1" applyFill="1" applyBorder="1" applyAlignment="1">
      <alignment horizontal="center"/>
    </xf>
    <xf numFmtId="0" fontId="2" fillId="2" borderId="15" xfId="0" applyFont="1" applyFill="1" applyBorder="1" applyAlignment="1">
      <alignment horizontal="center"/>
    </xf>
    <xf numFmtId="0" fontId="0" fillId="2" borderId="16" xfId="0" applyFill="1" applyBorder="1" applyAlignment="1">
      <alignment horizontal="center"/>
    </xf>
    <xf numFmtId="0" fontId="0" fillId="5" borderId="1" xfId="0" applyFill="1" applyBorder="1" applyAlignment="1">
      <alignment horizontal="center"/>
    </xf>
    <xf numFmtId="0" fontId="13" fillId="5" borderId="10" xfId="0" applyFont="1" applyFill="1" applyBorder="1" applyProtection="1"/>
    <xf numFmtId="0" fontId="13" fillId="5" borderId="13" xfId="0" applyFont="1" applyFill="1" applyBorder="1" applyProtection="1"/>
    <xf numFmtId="0" fontId="0" fillId="8" borderId="6" xfId="0" applyFill="1" applyBorder="1" applyAlignment="1">
      <alignment horizontal="right"/>
    </xf>
    <xf numFmtId="0" fontId="2" fillId="2" borderId="1" xfId="0" applyFont="1" applyFill="1" applyBorder="1" applyAlignment="1">
      <alignment horizontal="center"/>
    </xf>
    <xf numFmtId="0" fontId="4" fillId="0" borderId="0" xfId="0" applyFont="1" applyFill="1"/>
    <xf numFmtId="0" fontId="3" fillId="2" borderId="0" xfId="0" applyFont="1" applyFill="1" applyBorder="1" applyAlignment="1" applyProtection="1">
      <alignment horizontal="left"/>
    </xf>
    <xf numFmtId="0" fontId="3" fillId="2" borderId="0" xfId="0" applyFont="1" applyFill="1" applyBorder="1" applyProtection="1"/>
    <xf numFmtId="180" fontId="0" fillId="6" borderId="0" xfId="0" applyNumberFormat="1" applyFill="1"/>
    <xf numFmtId="0" fontId="0" fillId="8" borderId="0" xfId="0" applyFill="1"/>
    <xf numFmtId="181" fontId="0" fillId="6" borderId="0" xfId="0" applyNumberFormat="1" applyFill="1" applyAlignment="1">
      <alignment horizontal="center"/>
    </xf>
    <xf numFmtId="0" fontId="0" fillId="2" borderId="0" xfId="0" applyFont="1" applyFill="1" applyBorder="1" applyAlignment="1" applyProtection="1">
      <alignment horizontal="center"/>
    </xf>
    <xf numFmtId="0" fontId="0" fillId="6" borderId="6" xfId="0" applyFill="1" applyBorder="1" applyAlignment="1">
      <alignment horizontal="right"/>
    </xf>
    <xf numFmtId="0" fontId="0" fillId="4" borderId="1" xfId="0" applyFont="1" applyFill="1" applyBorder="1" applyAlignment="1">
      <alignment horizontal="center" wrapText="1"/>
    </xf>
    <xf numFmtId="0" fontId="4" fillId="7" borderId="0" xfId="0" applyFont="1" applyFill="1" applyAlignment="1">
      <alignment wrapText="1"/>
    </xf>
    <xf numFmtId="0" fontId="0" fillId="5" borderId="14" xfId="0" applyNumberFormat="1" applyFill="1" applyBorder="1" applyAlignment="1" applyProtection="1">
      <alignment horizontal="center"/>
    </xf>
    <xf numFmtId="0" fontId="0" fillId="2" borderId="0" xfId="0" quotePrefix="1" applyFill="1" applyBorder="1" applyAlignment="1" applyProtection="1">
      <alignment horizontal="right"/>
    </xf>
    <xf numFmtId="164" fontId="0" fillId="5" borderId="14" xfId="0" applyNumberFormat="1" applyFill="1" applyBorder="1" applyAlignment="1" applyProtection="1">
      <alignment horizontal="center"/>
    </xf>
    <xf numFmtId="0" fontId="5" fillId="2" borderId="0" xfId="0" applyFont="1" applyFill="1" applyBorder="1" applyProtection="1">
      <protection locked="0" hidden="1"/>
    </xf>
    <xf numFmtId="0" fontId="5" fillId="2" borderId="0" xfId="0" applyFont="1" applyFill="1" applyBorder="1" applyAlignment="1" applyProtection="1">
      <alignment horizontal="center"/>
      <protection locked="0" hidden="1"/>
    </xf>
    <xf numFmtId="0" fontId="5" fillId="2" borderId="0" xfId="0" applyFont="1" applyFill="1" applyBorder="1" applyAlignment="1" applyProtection="1">
      <alignment horizontal="center"/>
      <protection hidden="1"/>
    </xf>
    <xf numFmtId="166" fontId="0" fillId="2" borderId="0" xfId="0" applyNumberFormat="1" applyFill="1" applyBorder="1" applyProtection="1"/>
    <xf numFmtId="0" fontId="0" fillId="6" borderId="5" xfId="0" applyNumberFormat="1" applyFill="1" applyBorder="1" applyAlignment="1">
      <alignment horizontal="right"/>
    </xf>
    <xf numFmtId="0" fontId="0" fillId="6" borderId="7" xfId="0" applyNumberFormat="1" applyFill="1" applyBorder="1" applyAlignment="1">
      <alignment horizontal="right"/>
    </xf>
    <xf numFmtId="0" fontId="0" fillId="6" borderId="2" xfId="0" applyNumberFormat="1" applyFill="1" applyBorder="1" applyAlignment="1">
      <alignment horizontal="right"/>
    </xf>
    <xf numFmtId="164" fontId="0" fillId="6" borderId="4" xfId="0" applyNumberFormat="1" applyFill="1" applyBorder="1" applyAlignment="1">
      <alignment horizontal="left"/>
    </xf>
    <xf numFmtId="164" fontId="0" fillId="6" borderId="6" xfId="0" applyNumberFormat="1" applyFill="1" applyBorder="1" applyAlignment="1">
      <alignment horizontal="left"/>
    </xf>
    <xf numFmtId="164" fontId="0" fillId="6" borderId="9" xfId="0" applyNumberFormat="1" applyFill="1" applyBorder="1" applyAlignment="1">
      <alignment horizontal="left"/>
    </xf>
    <xf numFmtId="0" fontId="0" fillId="5" borderId="17" xfId="0" applyFill="1" applyBorder="1" applyProtection="1"/>
    <xf numFmtId="0" fontId="7" fillId="5" borderId="18" xfId="1" applyFont="1" applyFill="1" applyBorder="1" applyAlignment="1" applyProtection="1">
      <alignment vertical="center"/>
    </xf>
    <xf numFmtId="0" fontId="0" fillId="5" borderId="18" xfId="0" applyFill="1" applyBorder="1" applyProtection="1"/>
    <xf numFmtId="0" fontId="0" fillId="5" borderId="19" xfId="0" applyFill="1" applyBorder="1" applyProtection="1"/>
    <xf numFmtId="0" fontId="0" fillId="5" borderId="20" xfId="0" applyFill="1" applyBorder="1" applyProtection="1"/>
    <xf numFmtId="0" fontId="0" fillId="5" borderId="21" xfId="0" applyFill="1" applyBorder="1" applyProtection="1"/>
    <xf numFmtId="0" fontId="0" fillId="2" borderId="20" xfId="0" applyFill="1" applyBorder="1" applyProtection="1"/>
    <xf numFmtId="0" fontId="5" fillId="2" borderId="21" xfId="0" applyFont="1" applyFill="1" applyBorder="1" applyProtection="1">
      <protection locked="0" hidden="1"/>
    </xf>
    <xf numFmtId="0" fontId="0" fillId="2" borderId="21" xfId="0" applyFill="1" applyBorder="1" applyProtection="1"/>
    <xf numFmtId="0" fontId="5" fillId="2" borderId="21" xfId="0" applyFont="1" applyFill="1" applyBorder="1" applyAlignment="1" applyProtection="1">
      <alignment horizontal="center"/>
      <protection locked="0" hidden="1"/>
    </xf>
    <xf numFmtId="0" fontId="0" fillId="2" borderId="22" xfId="0" applyFill="1" applyBorder="1" applyProtection="1"/>
    <xf numFmtId="166" fontId="0" fillId="2" borderId="21" xfId="0" applyNumberFormat="1" applyFill="1" applyBorder="1" applyProtection="1"/>
    <xf numFmtId="0" fontId="0" fillId="2" borderId="23" xfId="0" applyFill="1" applyBorder="1" applyProtection="1"/>
    <xf numFmtId="0" fontId="0" fillId="5" borderId="24" xfId="0" applyFill="1" applyBorder="1" applyProtection="1"/>
    <xf numFmtId="0" fontId="0" fillId="2" borderId="25" xfId="0" applyFill="1" applyBorder="1" applyProtection="1"/>
    <xf numFmtId="0" fontId="0" fillId="2" borderId="26" xfId="0" applyFill="1" applyBorder="1" applyProtection="1"/>
    <xf numFmtId="0" fontId="0" fillId="2" borderId="27" xfId="0" applyFill="1" applyBorder="1" applyProtection="1"/>
    <xf numFmtId="0" fontId="0" fillId="2" borderId="29" xfId="0" applyFill="1" applyBorder="1" applyProtection="1"/>
    <xf numFmtId="0" fontId="0" fillId="7" borderId="12" xfId="0" applyFill="1" applyBorder="1" applyAlignment="1" applyProtection="1">
      <alignment horizontal="center"/>
    </xf>
    <xf numFmtId="0" fontId="1" fillId="5" borderId="0" xfId="0" applyFont="1" applyFill="1" applyProtection="1"/>
    <xf numFmtId="0" fontId="14" fillId="6" borderId="0" xfId="0" applyFont="1" applyFill="1"/>
    <xf numFmtId="0" fontId="0" fillId="6" borderId="0" xfId="0" applyNumberFormat="1" applyFill="1" applyAlignment="1">
      <alignment horizontal="center"/>
    </xf>
    <xf numFmtId="182" fontId="0" fillId="6" borderId="0" xfId="0" applyNumberFormat="1" applyFill="1" applyAlignment="1">
      <alignment horizontal="left"/>
    </xf>
    <xf numFmtId="0" fontId="0" fillId="7" borderId="1" xfId="0" applyFill="1" applyBorder="1" applyAlignment="1">
      <alignment horizontal="center"/>
    </xf>
    <xf numFmtId="0" fontId="0" fillId="7" borderId="1" xfId="0" applyFont="1" applyFill="1" applyBorder="1" applyAlignment="1">
      <alignment horizontal="center" wrapText="1"/>
    </xf>
    <xf numFmtId="171" fontId="0" fillId="6" borderId="0" xfId="0" applyNumberFormat="1" applyFont="1" applyFill="1"/>
    <xf numFmtId="0" fontId="0" fillId="6" borderId="0" xfId="0" applyFont="1" applyFill="1"/>
    <xf numFmtId="0" fontId="0" fillId="4" borderId="11" xfId="0" applyFill="1" applyBorder="1" applyProtection="1"/>
    <xf numFmtId="0" fontId="0" fillId="0" borderId="0" xfId="0" applyFill="1" applyProtection="1"/>
    <xf numFmtId="0" fontId="13" fillId="0" borderId="28" xfId="0" applyFont="1" applyFill="1" applyBorder="1" applyProtection="1"/>
    <xf numFmtId="0" fontId="4" fillId="2" borderId="0" xfId="0" applyFont="1" applyFill="1" applyBorder="1" applyProtection="1"/>
    <xf numFmtId="49" fontId="8" fillId="2" borderId="0" xfId="0" applyNumberFormat="1" applyFont="1" applyFill="1" applyBorder="1" applyAlignment="1" applyProtection="1">
      <alignment horizontal="left"/>
    </xf>
    <xf numFmtId="179" fontId="0" fillId="2" borderId="0" xfId="0" applyNumberFormat="1" applyFill="1" applyBorder="1" applyAlignment="1" applyProtection="1">
      <protection locked="0"/>
    </xf>
    <xf numFmtId="1" fontId="0" fillId="5" borderId="11" xfId="0" applyNumberFormat="1" applyFill="1" applyBorder="1" applyAlignment="1" applyProtection="1">
      <alignment horizontal="center"/>
    </xf>
    <xf numFmtId="0" fontId="2" fillId="2" borderId="1" xfId="0" applyFont="1" applyFill="1" applyBorder="1" applyAlignment="1">
      <alignment horizontal="center"/>
    </xf>
    <xf numFmtId="165" fontId="0" fillId="4" borderId="1" xfId="0" applyNumberFormat="1" applyFont="1" applyFill="1" applyBorder="1" applyAlignment="1">
      <alignment horizontal="center"/>
    </xf>
    <xf numFmtId="0" fontId="0" fillId="5" borderId="0" xfId="0" applyFont="1" applyFill="1" applyProtection="1"/>
    <xf numFmtId="0" fontId="0" fillId="5" borderId="0" xfId="0" applyFont="1" applyFill="1" applyAlignment="1" applyProtection="1">
      <alignment horizontal="center"/>
    </xf>
    <xf numFmtId="0" fontId="0" fillId="0" borderId="0" xfId="0" applyFont="1" applyFill="1" applyProtection="1"/>
    <xf numFmtId="165" fontId="0" fillId="2" borderId="0" xfId="0" applyNumberFormat="1" applyFill="1" applyBorder="1" applyProtection="1"/>
    <xf numFmtId="0" fontId="2" fillId="2" borderId="0" xfId="0" applyFont="1" applyFill="1" applyBorder="1" applyProtection="1"/>
    <xf numFmtId="165" fontId="0" fillId="2" borderId="0" xfId="0" applyNumberFormat="1" applyFill="1" applyBorder="1" applyAlignment="1" applyProtection="1">
      <alignment horizontal="center"/>
    </xf>
    <xf numFmtId="0" fontId="0" fillId="2" borderId="30" xfId="0" applyFill="1" applyBorder="1" applyProtection="1"/>
    <xf numFmtId="178" fontId="0" fillId="2" borderId="0" xfId="0" applyNumberFormat="1" applyFill="1" applyBorder="1" applyAlignment="1" applyProtection="1"/>
    <xf numFmtId="0" fontId="5" fillId="2" borderId="8" xfId="0" applyFont="1" applyFill="1" applyBorder="1" applyProtection="1">
      <protection locked="0" hidden="1"/>
    </xf>
    <xf numFmtId="0" fontId="0" fillId="2" borderId="8" xfId="0" quotePrefix="1" applyFill="1" applyBorder="1" applyAlignment="1" applyProtection="1">
      <alignment horizontal="right"/>
    </xf>
    <xf numFmtId="0" fontId="5" fillId="2" borderId="8" xfId="0" applyFont="1" applyFill="1" applyBorder="1" applyAlignment="1" applyProtection="1">
      <alignment horizontal="center"/>
      <protection hidden="1"/>
    </xf>
    <xf numFmtId="0" fontId="0" fillId="2" borderId="8" xfId="0" applyNumberFormat="1" applyFill="1" applyBorder="1" applyAlignment="1" applyProtection="1">
      <alignment horizontal="right"/>
    </xf>
    <xf numFmtId="0" fontId="0" fillId="2" borderId="8" xfId="0" applyFont="1" applyFill="1" applyBorder="1" applyAlignment="1" applyProtection="1">
      <alignment horizontal="center"/>
      <protection locked="0"/>
    </xf>
    <xf numFmtId="0" fontId="0" fillId="2" borderId="0" xfId="0" applyFont="1" applyFill="1" applyBorder="1" applyProtection="1">
      <protection locked="0" hidden="1"/>
    </xf>
    <xf numFmtId="0" fontId="16" fillId="2" borderId="0" xfId="0" applyFont="1" applyFill="1" applyBorder="1" applyProtection="1"/>
    <xf numFmtId="0" fontId="0" fillId="2" borderId="0" xfId="0" applyFill="1" applyAlignment="1">
      <alignment horizontal="center"/>
    </xf>
    <xf numFmtId="164" fontId="0" fillId="2" borderId="0" xfId="0" applyNumberFormat="1" applyFill="1" applyAlignment="1">
      <alignment horizontal="center"/>
    </xf>
    <xf numFmtId="2" fontId="0" fillId="0" borderId="0" xfId="0" applyNumberFormat="1"/>
    <xf numFmtId="0" fontId="5" fillId="2" borderId="8" xfId="0" applyFont="1" applyFill="1" applyBorder="1" applyProtection="1"/>
    <xf numFmtId="0" fontId="2" fillId="5" borderId="8" xfId="0" applyFont="1" applyFill="1" applyBorder="1" applyAlignment="1" applyProtection="1">
      <alignment horizontal="center"/>
    </xf>
    <xf numFmtId="0" fontId="1" fillId="5" borderId="10" xfId="0" applyFont="1" applyFill="1" applyBorder="1" applyAlignment="1" applyProtection="1">
      <alignment horizontal="center"/>
    </xf>
    <xf numFmtId="0" fontId="0" fillId="2" borderId="0" xfId="0" applyFill="1" applyBorder="1" applyProtection="1">
      <protection locked="0" hidden="1"/>
    </xf>
    <xf numFmtId="0" fontId="4" fillId="4" borderId="0" xfId="0" applyFont="1" applyFill="1" applyBorder="1"/>
    <xf numFmtId="0" fontId="4" fillId="7" borderId="0" xfId="0" applyFont="1" applyFill="1" applyBorder="1"/>
    <xf numFmtId="0" fontId="4" fillId="7" borderId="0" xfId="0" applyFont="1" applyFill="1" applyBorder="1" applyAlignment="1">
      <alignment wrapText="1"/>
    </xf>
    <xf numFmtId="0" fontId="0" fillId="2" borderId="0" xfId="0" applyFill="1" applyBorder="1" applyAlignment="1" applyProtection="1">
      <alignment horizontal="center"/>
    </xf>
    <xf numFmtId="0" fontId="0" fillId="2" borderId="0" xfId="0" applyFill="1" applyProtection="1"/>
    <xf numFmtId="0" fontId="0" fillId="2" borderId="0" xfId="0" applyFont="1" applyFill="1" applyBorder="1" applyProtection="1"/>
    <xf numFmtId="0" fontId="3" fillId="2" borderId="8" xfId="0" applyFont="1" applyFill="1" applyBorder="1" applyProtection="1">
      <protection hidden="1"/>
    </xf>
    <xf numFmtId="173" fontId="0" fillId="6" borderId="0" xfId="0" applyNumberFormat="1" applyFill="1"/>
    <xf numFmtId="184" fontId="0" fillId="6" borderId="0" xfId="0" applyNumberFormat="1" applyFill="1"/>
    <xf numFmtId="179" fontId="0" fillId="5" borderId="11" xfId="0" applyNumberFormat="1" applyFill="1" applyBorder="1" applyAlignment="1" applyProtection="1">
      <alignment horizontal="center"/>
      <protection locked="0"/>
    </xf>
    <xf numFmtId="179" fontId="0" fillId="5" borderId="14" xfId="0" applyNumberFormat="1" applyFill="1" applyBorder="1" applyAlignment="1" applyProtection="1">
      <alignment horizontal="center"/>
      <protection locked="0"/>
    </xf>
    <xf numFmtId="0" fontId="0" fillId="5" borderId="11" xfId="0" applyFill="1" applyBorder="1" applyAlignment="1" applyProtection="1">
      <alignment horizontal="center"/>
      <protection locked="0"/>
    </xf>
    <xf numFmtId="0" fontId="0" fillId="5" borderId="14" xfId="0" applyFill="1" applyBorder="1" applyAlignment="1" applyProtection="1">
      <alignment horizontal="center"/>
      <protection locked="0"/>
    </xf>
    <xf numFmtId="0" fontId="2" fillId="4" borderId="2" xfId="0" applyFont="1" applyFill="1" applyBorder="1" applyAlignment="1">
      <alignment horizontal="center"/>
    </xf>
    <xf numFmtId="0" fontId="2" fillId="4" borderId="4" xfId="0" applyFont="1" applyFill="1" applyBorder="1" applyAlignment="1">
      <alignment horizontal="center"/>
    </xf>
    <xf numFmtId="0" fontId="2" fillId="0" borderId="18" xfId="0" applyFont="1" applyFill="1" applyBorder="1" applyAlignment="1">
      <alignment horizontal="left" vertical="center"/>
    </xf>
    <xf numFmtId="0" fontId="2" fillId="0" borderId="0" xfId="0" applyFont="1" applyFill="1" applyBorder="1" applyAlignment="1">
      <alignment horizontal="left" vertical="center"/>
    </xf>
    <xf numFmtId="178" fontId="0" fillId="2" borderId="0" xfId="0" applyNumberFormat="1" applyFill="1" applyBorder="1" applyAlignment="1" applyProtection="1">
      <alignment horizontal="center"/>
    </xf>
    <xf numFmtId="178" fontId="0" fillId="5" borderId="11" xfId="0" applyNumberFormat="1" applyFill="1" applyBorder="1" applyAlignment="1" applyProtection="1">
      <alignment horizontal="center"/>
    </xf>
    <xf numFmtId="178" fontId="0" fillId="5" borderId="14" xfId="0" applyNumberFormat="1" applyFill="1" applyBorder="1" applyAlignment="1" applyProtection="1">
      <alignment horizontal="center"/>
    </xf>
    <xf numFmtId="0" fontId="2" fillId="0" borderId="18" xfId="0" applyFont="1" applyFill="1" applyBorder="1" applyAlignment="1">
      <alignment horizontal="center" vertical="center"/>
    </xf>
    <xf numFmtId="0" fontId="2" fillId="0" borderId="0" xfId="0" applyFont="1" applyFill="1" applyBorder="1" applyAlignment="1">
      <alignment horizontal="center" vertical="center"/>
    </xf>
    <xf numFmtId="183" fontId="0" fillId="5" borderId="11" xfId="0" applyNumberFormat="1" applyFont="1" applyFill="1" applyBorder="1" applyAlignment="1" applyProtection="1">
      <alignment horizontal="center"/>
    </xf>
    <xf numFmtId="183" fontId="0" fillId="5" borderId="14" xfId="0" applyNumberFormat="1" applyFont="1" applyFill="1" applyBorder="1" applyAlignment="1" applyProtection="1">
      <alignment horizontal="center"/>
    </xf>
    <xf numFmtId="0" fontId="2" fillId="2" borderId="1" xfId="0" applyFont="1" applyFill="1" applyBorder="1" applyAlignment="1">
      <alignment horizontal="center"/>
    </xf>
  </cellXfs>
  <cellStyles count="2">
    <cellStyle name="Hyperlink" xfId="1" builtinId="8"/>
    <cellStyle name="Normal" xfId="0" builtinId="0"/>
  </cellStyles>
  <dxfs count="142">
    <dxf>
      <fill>
        <patternFill>
          <bgColor rgb="FF92D050"/>
        </patternFill>
      </fill>
    </dxf>
    <dxf>
      <fill>
        <patternFill>
          <bgColor rgb="FF92D05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C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C000"/>
        </patternFill>
      </fill>
    </dxf>
    <dxf>
      <fill>
        <patternFill>
          <bgColor rgb="FF92D050"/>
        </patternFill>
      </fill>
    </dxf>
    <dxf>
      <fill>
        <patternFill>
          <bgColor rgb="FFFF0000"/>
        </patternFill>
      </fill>
    </dxf>
  </dxfs>
  <tableStyles count="0" defaultTableStyle="TableStyleMedium9" defaultPivotStyle="PivotStyleLight16"/>
  <colors>
    <mruColors>
      <color rgb="FFD9D9D9"/>
      <color rgb="FFF2F2F2"/>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activeX1.xml><?xml version="1.0" encoding="utf-8"?>
<ax:ocx xmlns:ax="http://schemas.microsoft.com/office/2006/activeX" xmlns:r="http://schemas.openxmlformats.org/officeDocument/2006/relationships" ax:classid="{8BD21D40-EC42-11CE-9E0D-00AA006002F3}" ax:persistence="persistStreamInit" r:id="rId1"/>
</file>

<file path=xl/activeX/activeX2.xml><?xml version="1.0" encoding="utf-8"?>
<ax:ocx xmlns:ax="http://schemas.microsoft.com/office/2006/activeX" xmlns:r="http://schemas.openxmlformats.org/officeDocument/2006/relationships" ax:classid="{8BD21D40-EC42-11CE-9E0D-00AA006002F3}" ax:persistence="persistStreamInit" r:id="rId1"/>
</file>

<file path=xl/activeX/activeX3.xml><?xml version="1.0" encoding="utf-8"?>
<ax:ocx xmlns:ax="http://schemas.microsoft.com/office/2006/activeX" xmlns:r="http://schemas.openxmlformats.org/officeDocument/2006/relationships" ax:classid="{8BD21D40-EC42-11CE-9E0D-00AA006002F3}" ax:persistence="persistStreamInit" r:id="rId1"/>
</file>

<file path=xl/activeX/activeX4.xml><?xml version="1.0" encoding="utf-8"?>
<ax:ocx xmlns:ax="http://schemas.microsoft.com/office/2006/activeX" xmlns:r="http://schemas.openxmlformats.org/officeDocument/2006/relationships" ax:classid="{8BD21D40-EC42-11CE-9E0D-00AA006002F3}" ax:persistence="persistStreamInit" r:id="rId1"/>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scatterChart>
        <c:scatterStyle val="lineMarker"/>
        <c:varyColors val="0"/>
        <c:ser>
          <c:idx val="0"/>
          <c:order val="0"/>
          <c:tx>
            <c:strRef>
              <c:f>'Calculation table'!$F$29</c:f>
              <c:strCache>
                <c:ptCount val="1"/>
                <c:pt idx="0">
                  <c:v>String Voc max.</c:v>
                </c:pt>
              </c:strCache>
            </c:strRef>
          </c:tx>
          <c:spPr>
            <a:ln>
              <a:solidFill>
                <a:srgbClr val="0070C0"/>
              </a:solidFill>
            </a:ln>
          </c:spPr>
          <c:marker>
            <c:symbol val="none"/>
          </c:marker>
          <c:xVal>
            <c:numRef>
              <c:f>'Calculation table'!$A$30:$A$33</c:f>
              <c:numCache>
                <c:formatCode>General</c:formatCode>
                <c:ptCount val="4"/>
                <c:pt idx="0">
                  <c:v>-10</c:v>
                </c:pt>
                <c:pt idx="1">
                  <c:v>-5</c:v>
                </c:pt>
                <c:pt idx="2">
                  <c:v>0</c:v>
                </c:pt>
                <c:pt idx="3">
                  <c:v>5</c:v>
                </c:pt>
              </c:numCache>
            </c:numRef>
          </c:xVal>
          <c:yVal>
            <c:numRef>
              <c:f>'Calculation table'!$F$30:$F$33</c:f>
              <c:numCache>
                <c:formatCode>0.0\ "V"</c:formatCode>
                <c:ptCount val="4"/>
                <c:pt idx="0">
                  <c:v>222.81625</c:v>
                </c:pt>
                <c:pt idx="1">
                  <c:v>219.3425</c:v>
                </c:pt>
                <c:pt idx="2">
                  <c:v>215.86875000000001</c:v>
                </c:pt>
                <c:pt idx="3">
                  <c:v>212.39500000000001</c:v>
                </c:pt>
              </c:numCache>
            </c:numRef>
          </c:yVal>
          <c:smooth val="0"/>
          <c:extLst>
            <c:ext xmlns:c16="http://schemas.microsoft.com/office/drawing/2014/chart" uri="{C3380CC4-5D6E-409C-BE32-E72D297353CC}">
              <c16:uniqueId val="{00000000-4210-4A16-B05B-27FCDA9E9870}"/>
            </c:ext>
          </c:extLst>
        </c:ser>
        <c:ser>
          <c:idx val="7"/>
          <c:order val="1"/>
          <c:tx>
            <c:strRef>
              <c:f>'Calculation table'!$H$29</c:f>
              <c:strCache>
                <c:ptCount val="1"/>
                <c:pt idx="0">
                  <c:v>String Vmpp corr.max.</c:v>
                </c:pt>
              </c:strCache>
            </c:strRef>
          </c:tx>
          <c:spPr>
            <a:ln>
              <a:solidFill>
                <a:srgbClr val="00B0F0"/>
              </a:solidFill>
            </a:ln>
          </c:spPr>
          <c:marker>
            <c:symbol val="none"/>
          </c:marker>
          <c:xVal>
            <c:numRef>
              <c:f>'Calculation table'!$A$30:$A$33</c:f>
              <c:numCache>
                <c:formatCode>General</c:formatCode>
                <c:ptCount val="4"/>
                <c:pt idx="0">
                  <c:v>-10</c:v>
                </c:pt>
                <c:pt idx="1">
                  <c:v>-5</c:v>
                </c:pt>
                <c:pt idx="2">
                  <c:v>0</c:v>
                </c:pt>
                <c:pt idx="3">
                  <c:v>5</c:v>
                </c:pt>
              </c:numCache>
            </c:numRef>
          </c:xVal>
          <c:yVal>
            <c:numRef>
              <c:f>'Calculation table'!$H$30:$H$33</c:f>
              <c:numCache>
                <c:formatCode>0.0</c:formatCode>
                <c:ptCount val="4"/>
                <c:pt idx="0">
                  <c:v>186.26823428</c:v>
                </c:pt>
                <c:pt idx="1">
                  <c:v>182.79326557333334</c:v>
                </c:pt>
                <c:pt idx="2">
                  <c:v>179.31829686666669</c:v>
                </c:pt>
                <c:pt idx="3">
                  <c:v>175.84332816</c:v>
                </c:pt>
              </c:numCache>
            </c:numRef>
          </c:yVal>
          <c:smooth val="0"/>
          <c:extLst>
            <c:ext xmlns:c16="http://schemas.microsoft.com/office/drawing/2014/chart" uri="{C3380CC4-5D6E-409C-BE32-E72D297353CC}">
              <c16:uniqueId val="{00000001-4210-4A16-B05B-27FCDA9E9870}"/>
            </c:ext>
          </c:extLst>
        </c:ser>
        <c:ser>
          <c:idx val="2"/>
          <c:order val="2"/>
          <c:tx>
            <c:strRef>
              <c:f>'Calculation table'!$I$29</c:f>
              <c:strCache>
                <c:ptCount val="1"/>
                <c:pt idx="0">
                  <c:v>String Voc min.</c:v>
                </c:pt>
              </c:strCache>
            </c:strRef>
          </c:tx>
          <c:spPr>
            <a:ln>
              <a:solidFill>
                <a:srgbClr val="FFC000"/>
              </a:solidFill>
            </a:ln>
          </c:spPr>
          <c:marker>
            <c:symbol val="none"/>
          </c:marker>
          <c:xVal>
            <c:numRef>
              <c:f>'Calculation table'!$A$34:$A$37</c:f>
              <c:numCache>
                <c:formatCode>General</c:formatCode>
                <c:ptCount val="4"/>
                <c:pt idx="0">
                  <c:v>55</c:v>
                </c:pt>
                <c:pt idx="1">
                  <c:v>60</c:v>
                </c:pt>
                <c:pt idx="2">
                  <c:v>65</c:v>
                </c:pt>
                <c:pt idx="3">
                  <c:v>70</c:v>
                </c:pt>
              </c:numCache>
            </c:numRef>
          </c:xVal>
          <c:yVal>
            <c:numRef>
              <c:f>'Calculation table'!$I$34:$I$37</c:f>
              <c:numCache>
                <c:formatCode>0.0\ "V"</c:formatCode>
                <c:ptCount val="4"/>
                <c:pt idx="0">
                  <c:v>177.6575</c:v>
                </c:pt>
                <c:pt idx="1">
                  <c:v>174.18375</c:v>
                </c:pt>
                <c:pt idx="2">
                  <c:v>170.71</c:v>
                </c:pt>
                <c:pt idx="3">
                  <c:v>167.23625000000001</c:v>
                </c:pt>
              </c:numCache>
            </c:numRef>
          </c:yVal>
          <c:smooth val="0"/>
          <c:extLst>
            <c:ext xmlns:c16="http://schemas.microsoft.com/office/drawing/2014/chart" uri="{C3380CC4-5D6E-409C-BE32-E72D297353CC}">
              <c16:uniqueId val="{00000002-4210-4A16-B05B-27FCDA9E9870}"/>
            </c:ext>
          </c:extLst>
        </c:ser>
        <c:ser>
          <c:idx val="8"/>
          <c:order val="3"/>
          <c:tx>
            <c:strRef>
              <c:f>'Calculation table'!$K$29</c:f>
              <c:strCache>
                <c:ptCount val="1"/>
                <c:pt idx="0">
                  <c:v>String Vmpp corr. min.</c:v>
                </c:pt>
              </c:strCache>
            </c:strRef>
          </c:tx>
          <c:spPr>
            <a:ln>
              <a:solidFill>
                <a:srgbClr val="FFFF00"/>
              </a:solidFill>
            </a:ln>
          </c:spPr>
          <c:marker>
            <c:symbol val="none"/>
          </c:marker>
          <c:xVal>
            <c:numRef>
              <c:f>'Calculation table'!$A$34:$A$37</c:f>
              <c:numCache>
                <c:formatCode>General</c:formatCode>
                <c:ptCount val="4"/>
                <c:pt idx="0">
                  <c:v>55</c:v>
                </c:pt>
                <c:pt idx="1">
                  <c:v>60</c:v>
                </c:pt>
                <c:pt idx="2">
                  <c:v>65</c:v>
                </c:pt>
                <c:pt idx="3">
                  <c:v>70</c:v>
                </c:pt>
              </c:numCache>
            </c:numRef>
          </c:xVal>
          <c:yVal>
            <c:numRef>
              <c:f>'Calculation table'!$K$34:$K$37</c:f>
              <c:numCache>
                <c:formatCode>0.0\ "V"</c:formatCode>
                <c:ptCount val="4"/>
                <c:pt idx="0">
                  <c:v>141.09364109333333</c:v>
                </c:pt>
                <c:pt idx="1">
                  <c:v>137.61867238666667</c:v>
                </c:pt>
                <c:pt idx="2">
                  <c:v>134.14370368000002</c:v>
                </c:pt>
                <c:pt idx="3">
                  <c:v>130.66873497333336</c:v>
                </c:pt>
              </c:numCache>
            </c:numRef>
          </c:yVal>
          <c:smooth val="0"/>
          <c:extLst>
            <c:ext xmlns:c16="http://schemas.microsoft.com/office/drawing/2014/chart" uri="{C3380CC4-5D6E-409C-BE32-E72D297353CC}">
              <c16:uniqueId val="{00000003-4210-4A16-B05B-27FCDA9E9870}"/>
            </c:ext>
          </c:extLst>
        </c:ser>
        <c:ser>
          <c:idx val="4"/>
          <c:order val="4"/>
          <c:tx>
            <c:strRef>
              <c:f>'Calculation table'!$C$29</c:f>
              <c:strCache>
                <c:ptCount val="1"/>
                <c:pt idx="0">
                  <c:v>Voc max.</c:v>
                </c:pt>
              </c:strCache>
            </c:strRef>
          </c:tx>
          <c:spPr>
            <a:ln>
              <a:solidFill>
                <a:srgbClr val="FF0000"/>
              </a:solidFill>
            </a:ln>
          </c:spPr>
          <c:marker>
            <c:symbol val="none"/>
          </c:marker>
          <c:xVal>
            <c:numRef>
              <c:f>'Calculation table'!$A$30:$A$37</c:f>
              <c:numCache>
                <c:formatCode>General</c:formatCode>
                <c:ptCount val="8"/>
                <c:pt idx="0">
                  <c:v>-10</c:v>
                </c:pt>
                <c:pt idx="1">
                  <c:v>-5</c:v>
                </c:pt>
                <c:pt idx="2">
                  <c:v>0</c:v>
                </c:pt>
                <c:pt idx="3">
                  <c:v>5</c:v>
                </c:pt>
                <c:pt idx="4">
                  <c:v>55</c:v>
                </c:pt>
                <c:pt idx="5">
                  <c:v>60</c:v>
                </c:pt>
                <c:pt idx="6">
                  <c:v>65</c:v>
                </c:pt>
                <c:pt idx="7">
                  <c:v>70</c:v>
                </c:pt>
              </c:numCache>
            </c:numRef>
          </c:xVal>
          <c:yVal>
            <c:numRef>
              <c:f>'Calculation table'!$C$30:$C$37</c:f>
              <c:numCache>
                <c:formatCode>0.0\ "V"</c:formatCode>
                <c:ptCount val="8"/>
                <c:pt idx="0">
                  <c:v>250</c:v>
                </c:pt>
                <c:pt idx="1">
                  <c:v>250</c:v>
                </c:pt>
                <c:pt idx="2">
                  <c:v>250</c:v>
                </c:pt>
                <c:pt idx="3">
                  <c:v>250</c:v>
                </c:pt>
                <c:pt idx="4">
                  <c:v>250</c:v>
                </c:pt>
                <c:pt idx="5">
                  <c:v>250</c:v>
                </c:pt>
                <c:pt idx="6">
                  <c:v>250</c:v>
                </c:pt>
                <c:pt idx="7">
                  <c:v>250</c:v>
                </c:pt>
              </c:numCache>
            </c:numRef>
          </c:yVal>
          <c:smooth val="0"/>
          <c:extLst>
            <c:ext xmlns:c16="http://schemas.microsoft.com/office/drawing/2014/chart" uri="{C3380CC4-5D6E-409C-BE32-E72D297353CC}">
              <c16:uniqueId val="{00000004-4210-4A16-B05B-27FCDA9E9870}"/>
            </c:ext>
          </c:extLst>
        </c:ser>
        <c:ser>
          <c:idx val="5"/>
          <c:order val="5"/>
          <c:tx>
            <c:strRef>
              <c:f>'Calculation table'!$D$29</c:f>
              <c:strCache>
                <c:ptCount val="1"/>
                <c:pt idx="0">
                  <c:v>Voc START min.</c:v>
                </c:pt>
              </c:strCache>
            </c:strRef>
          </c:tx>
          <c:spPr>
            <a:ln>
              <a:solidFill>
                <a:schemeClr val="tx2">
                  <a:lumMod val="20000"/>
                  <a:lumOff val="80000"/>
                </a:schemeClr>
              </a:solidFill>
              <a:prstDash val="dash"/>
            </a:ln>
          </c:spPr>
          <c:marker>
            <c:symbol val="none"/>
          </c:marker>
          <c:xVal>
            <c:numRef>
              <c:f>'Calculation table'!$A$30:$A$37</c:f>
              <c:numCache>
                <c:formatCode>General</c:formatCode>
                <c:ptCount val="8"/>
                <c:pt idx="0">
                  <c:v>-10</c:v>
                </c:pt>
                <c:pt idx="1">
                  <c:v>-5</c:v>
                </c:pt>
                <c:pt idx="2">
                  <c:v>0</c:v>
                </c:pt>
                <c:pt idx="3">
                  <c:v>5</c:v>
                </c:pt>
                <c:pt idx="4">
                  <c:v>55</c:v>
                </c:pt>
                <c:pt idx="5">
                  <c:v>60</c:v>
                </c:pt>
                <c:pt idx="6">
                  <c:v>65</c:v>
                </c:pt>
                <c:pt idx="7">
                  <c:v>70</c:v>
                </c:pt>
              </c:numCache>
            </c:numRef>
          </c:xVal>
          <c:yVal>
            <c:numRef>
              <c:f>'Calculation table'!$D$30:$D$37</c:f>
              <c:numCache>
                <c:formatCode>0.0\ "V"</c:formatCode>
                <c:ptCount val="8"/>
                <c:pt idx="0">
                  <c:v>53</c:v>
                </c:pt>
                <c:pt idx="1">
                  <c:v>53</c:v>
                </c:pt>
                <c:pt idx="2">
                  <c:v>53</c:v>
                </c:pt>
                <c:pt idx="3">
                  <c:v>53</c:v>
                </c:pt>
                <c:pt idx="4">
                  <c:v>53</c:v>
                </c:pt>
                <c:pt idx="5">
                  <c:v>53</c:v>
                </c:pt>
                <c:pt idx="6">
                  <c:v>53</c:v>
                </c:pt>
                <c:pt idx="7">
                  <c:v>53</c:v>
                </c:pt>
              </c:numCache>
            </c:numRef>
          </c:yVal>
          <c:smooth val="0"/>
          <c:extLst>
            <c:ext xmlns:c16="http://schemas.microsoft.com/office/drawing/2014/chart" uri="{C3380CC4-5D6E-409C-BE32-E72D297353CC}">
              <c16:uniqueId val="{00000005-4210-4A16-B05B-27FCDA9E9870}"/>
            </c:ext>
          </c:extLst>
        </c:ser>
        <c:ser>
          <c:idx val="6"/>
          <c:order val="6"/>
          <c:tx>
            <c:strRef>
              <c:f>'Calculation table'!$E$29</c:f>
              <c:strCache>
                <c:ptCount val="1"/>
                <c:pt idx="0">
                  <c:v>Vmpp RUN min.</c:v>
                </c:pt>
              </c:strCache>
            </c:strRef>
          </c:tx>
          <c:marker>
            <c:symbol val="none"/>
          </c:marker>
          <c:xVal>
            <c:numRef>
              <c:f>'Calculation table'!$A$30:$A$37</c:f>
              <c:numCache>
                <c:formatCode>General</c:formatCode>
                <c:ptCount val="8"/>
                <c:pt idx="0">
                  <c:v>-10</c:v>
                </c:pt>
                <c:pt idx="1">
                  <c:v>-5</c:v>
                </c:pt>
                <c:pt idx="2">
                  <c:v>0</c:v>
                </c:pt>
                <c:pt idx="3">
                  <c:v>5</c:v>
                </c:pt>
                <c:pt idx="4">
                  <c:v>55</c:v>
                </c:pt>
                <c:pt idx="5">
                  <c:v>60</c:v>
                </c:pt>
                <c:pt idx="6">
                  <c:v>65</c:v>
                </c:pt>
                <c:pt idx="7">
                  <c:v>70</c:v>
                </c:pt>
              </c:numCache>
            </c:numRef>
          </c:xVal>
          <c:yVal>
            <c:numRef>
              <c:f>'Calculation table'!$E$30:$E$37</c:f>
              <c:numCache>
                <c:formatCode>0.0\ "V"</c:formatCode>
                <c:ptCount val="8"/>
                <c:pt idx="0">
                  <c:v>49</c:v>
                </c:pt>
                <c:pt idx="1">
                  <c:v>49</c:v>
                </c:pt>
                <c:pt idx="2">
                  <c:v>49</c:v>
                </c:pt>
                <c:pt idx="3">
                  <c:v>49</c:v>
                </c:pt>
                <c:pt idx="4">
                  <c:v>49</c:v>
                </c:pt>
                <c:pt idx="5">
                  <c:v>49</c:v>
                </c:pt>
                <c:pt idx="6">
                  <c:v>49</c:v>
                </c:pt>
                <c:pt idx="7">
                  <c:v>49</c:v>
                </c:pt>
              </c:numCache>
            </c:numRef>
          </c:yVal>
          <c:smooth val="0"/>
          <c:extLst>
            <c:ext xmlns:c16="http://schemas.microsoft.com/office/drawing/2014/chart" uri="{C3380CC4-5D6E-409C-BE32-E72D297353CC}">
              <c16:uniqueId val="{00000006-4210-4A16-B05B-27FCDA9E9870}"/>
            </c:ext>
          </c:extLst>
        </c:ser>
        <c:dLbls>
          <c:showLegendKey val="0"/>
          <c:showVal val="0"/>
          <c:showCatName val="0"/>
          <c:showSerName val="0"/>
          <c:showPercent val="0"/>
          <c:showBubbleSize val="0"/>
        </c:dLbls>
        <c:axId val="204192656"/>
        <c:axId val="203360552"/>
      </c:scatterChart>
      <c:valAx>
        <c:axId val="204192656"/>
        <c:scaling>
          <c:orientation val="minMax"/>
        </c:scaling>
        <c:delete val="0"/>
        <c:axPos val="b"/>
        <c:numFmt formatCode="General\ &quot;°&quot;" sourceLinked="0"/>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n-DE"/>
          </a:p>
        </c:txPr>
        <c:crossAx val="203360552"/>
        <c:crosses val="autoZero"/>
        <c:crossBetween val="midCat"/>
      </c:valAx>
      <c:valAx>
        <c:axId val="203360552"/>
        <c:scaling>
          <c:orientation val="minMax"/>
        </c:scaling>
        <c:delete val="0"/>
        <c:axPos val="l"/>
        <c:majorGridlines/>
        <c:numFmt formatCode="0.0\ &quot;V&quot;" sourceLinked="1"/>
        <c:majorTickMark val="out"/>
        <c:minorTickMark val="none"/>
        <c:tickLblPos val="nextTo"/>
        <c:crossAx val="204192656"/>
        <c:crosses val="autoZero"/>
        <c:crossBetween val="midCat"/>
      </c:valAx>
    </c:plotArea>
    <c:legend>
      <c:legendPos val="b"/>
      <c:layout>
        <c:manualLayout>
          <c:xMode val="edge"/>
          <c:yMode val="edge"/>
          <c:x val="4.3956457634030787E-3"/>
          <c:y val="0.81327489133440811"/>
          <c:w val="0.98913992324664601"/>
          <c:h val="0.18672510866559175"/>
        </c:manualLayout>
      </c:layout>
      <c:overlay val="0"/>
    </c:legend>
    <c:plotVisOnly val="1"/>
    <c:dispBlanksAs val="gap"/>
    <c:showDLblsOverMax val="0"/>
  </c:chart>
  <c:printSettings>
    <c:headerFooter/>
    <c:pageMargins b="0.750000000000002" l="0.70000000000000062" r="0.70000000000000062" t="0.750000000000002"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1084656084656082E-2"/>
          <c:y val="2.7721641703453079E-2"/>
          <c:w val="0.88187830687830693"/>
          <c:h val="0.76470145296697156"/>
        </c:manualLayout>
      </c:layout>
      <c:scatterChart>
        <c:scatterStyle val="lineMarker"/>
        <c:varyColors val="0"/>
        <c:ser>
          <c:idx val="0"/>
          <c:order val="0"/>
          <c:tx>
            <c:strRef>
              <c:f>'Calculation table'!$C$39</c:f>
              <c:strCache>
                <c:ptCount val="1"/>
                <c:pt idx="0">
                  <c:v>Ibat max.</c:v>
                </c:pt>
              </c:strCache>
            </c:strRef>
          </c:tx>
          <c:spPr>
            <a:ln>
              <a:solidFill>
                <a:srgbClr val="FF0000"/>
              </a:solidFill>
            </a:ln>
          </c:spPr>
          <c:marker>
            <c:symbol val="none"/>
          </c:marker>
          <c:xVal>
            <c:numRef>
              <c:f>'Calculation table'!$A$40:$A$47</c:f>
              <c:numCache>
                <c:formatCode>General</c:formatCode>
                <c:ptCount val="8"/>
                <c:pt idx="0">
                  <c:v>-10</c:v>
                </c:pt>
                <c:pt idx="1">
                  <c:v>-5</c:v>
                </c:pt>
                <c:pt idx="2">
                  <c:v>0</c:v>
                </c:pt>
                <c:pt idx="3">
                  <c:v>5</c:v>
                </c:pt>
                <c:pt idx="4">
                  <c:v>55</c:v>
                </c:pt>
                <c:pt idx="5">
                  <c:v>60</c:v>
                </c:pt>
                <c:pt idx="6">
                  <c:v>65</c:v>
                </c:pt>
                <c:pt idx="7">
                  <c:v>70</c:v>
                </c:pt>
              </c:numCache>
            </c:numRef>
          </c:xVal>
          <c:yVal>
            <c:numRef>
              <c:f>'Calculation table'!$C$40:$C$47</c:f>
              <c:numCache>
                <c:formatCode>0.0\ "A"</c:formatCode>
                <c:ptCount val="8"/>
                <c:pt idx="0">
                  <c:v>100</c:v>
                </c:pt>
                <c:pt idx="1">
                  <c:v>100</c:v>
                </c:pt>
                <c:pt idx="2">
                  <c:v>100</c:v>
                </c:pt>
                <c:pt idx="3">
                  <c:v>100</c:v>
                </c:pt>
                <c:pt idx="4">
                  <c:v>100</c:v>
                </c:pt>
                <c:pt idx="5">
                  <c:v>100</c:v>
                </c:pt>
                <c:pt idx="6">
                  <c:v>100</c:v>
                </c:pt>
                <c:pt idx="7">
                  <c:v>100</c:v>
                </c:pt>
              </c:numCache>
            </c:numRef>
          </c:yVal>
          <c:smooth val="0"/>
          <c:extLst>
            <c:ext xmlns:c16="http://schemas.microsoft.com/office/drawing/2014/chart" uri="{C3380CC4-5D6E-409C-BE32-E72D297353CC}">
              <c16:uniqueId val="{00000000-B09E-4857-8F75-5A4943C07D55}"/>
            </c:ext>
          </c:extLst>
        </c:ser>
        <c:ser>
          <c:idx val="2"/>
          <c:order val="1"/>
          <c:tx>
            <c:strRef>
              <c:f>'Calculation table'!$F$39</c:f>
              <c:strCache>
                <c:ptCount val="1"/>
                <c:pt idx="0">
                  <c:v>Ibat max. @ Impp</c:v>
                </c:pt>
              </c:strCache>
            </c:strRef>
          </c:tx>
          <c:spPr>
            <a:ln>
              <a:solidFill>
                <a:srgbClr val="0070C0"/>
              </a:solidFill>
            </a:ln>
          </c:spPr>
          <c:marker>
            <c:symbol val="none"/>
          </c:marker>
          <c:xVal>
            <c:numRef>
              <c:f>'Calculation table'!$A$40:$A$43</c:f>
              <c:numCache>
                <c:formatCode>General</c:formatCode>
                <c:ptCount val="4"/>
                <c:pt idx="0">
                  <c:v>-10</c:v>
                </c:pt>
                <c:pt idx="1">
                  <c:v>-5</c:v>
                </c:pt>
                <c:pt idx="2">
                  <c:v>0</c:v>
                </c:pt>
                <c:pt idx="3">
                  <c:v>5</c:v>
                </c:pt>
              </c:numCache>
            </c:numRef>
          </c:xVal>
          <c:yVal>
            <c:numRef>
              <c:f>'Calculation table'!$F$40:$F$43</c:f>
              <c:numCache>
                <c:formatCode>0.00\ "A"</c:formatCode>
                <c:ptCount val="4"/>
                <c:pt idx="0">
                  <c:v>35.587942181859376</c:v>
                </c:pt>
                <c:pt idx="1">
                  <c:v>35.003873856187504</c:v>
                </c:pt>
                <c:pt idx="2">
                  <c:v>34.416862308984378</c:v>
                </c:pt>
                <c:pt idx="3">
                  <c:v>33.826907540249998</c:v>
                </c:pt>
              </c:numCache>
            </c:numRef>
          </c:yVal>
          <c:smooth val="0"/>
          <c:extLst>
            <c:ext xmlns:c16="http://schemas.microsoft.com/office/drawing/2014/chart" uri="{C3380CC4-5D6E-409C-BE32-E72D297353CC}">
              <c16:uniqueId val="{00000001-B09E-4857-8F75-5A4943C07D55}"/>
            </c:ext>
          </c:extLst>
        </c:ser>
        <c:ser>
          <c:idx val="4"/>
          <c:order val="2"/>
          <c:tx>
            <c:strRef>
              <c:f>'Calculation table'!$G$39</c:f>
              <c:strCache>
                <c:ptCount val="1"/>
                <c:pt idx="0">
                  <c:v>Ibat min. @ Impp</c:v>
                </c:pt>
              </c:strCache>
            </c:strRef>
          </c:tx>
          <c:spPr>
            <a:ln>
              <a:solidFill>
                <a:srgbClr val="FFC000"/>
              </a:solidFill>
            </a:ln>
          </c:spPr>
          <c:marker>
            <c:symbol val="none"/>
          </c:marker>
          <c:xVal>
            <c:numRef>
              <c:f>'Calculation table'!$A$44:$A$47</c:f>
              <c:numCache>
                <c:formatCode>General</c:formatCode>
                <c:ptCount val="4"/>
                <c:pt idx="0">
                  <c:v>55</c:v>
                </c:pt>
                <c:pt idx="1">
                  <c:v>60</c:v>
                </c:pt>
                <c:pt idx="2">
                  <c:v>65</c:v>
                </c:pt>
                <c:pt idx="3">
                  <c:v>70</c:v>
                </c:pt>
              </c:numCache>
            </c:numRef>
          </c:xVal>
          <c:yVal>
            <c:numRef>
              <c:f>'Calculation table'!$G$44:$G$47</c:f>
              <c:numCache>
                <c:formatCode>0.00\ "A"</c:formatCode>
                <c:ptCount val="4"/>
                <c:pt idx="0">
                  <c:v>27.7654826686875</c:v>
                </c:pt>
                <c:pt idx="1">
                  <c:v>27.143152463109377</c:v>
                </c:pt>
                <c:pt idx="2">
                  <c:v>26.517879036000004</c:v>
                </c:pt>
                <c:pt idx="3">
                  <c:v>25.88966238735938</c:v>
                </c:pt>
              </c:numCache>
            </c:numRef>
          </c:yVal>
          <c:smooth val="0"/>
          <c:extLst>
            <c:ext xmlns:c16="http://schemas.microsoft.com/office/drawing/2014/chart" uri="{C3380CC4-5D6E-409C-BE32-E72D297353CC}">
              <c16:uniqueId val="{00000002-B09E-4857-8F75-5A4943C07D55}"/>
            </c:ext>
          </c:extLst>
        </c:ser>
        <c:dLbls>
          <c:showLegendKey val="0"/>
          <c:showVal val="0"/>
          <c:showCatName val="0"/>
          <c:showSerName val="0"/>
          <c:showPercent val="0"/>
          <c:showBubbleSize val="0"/>
        </c:dLbls>
        <c:axId val="203353104"/>
        <c:axId val="203354672"/>
      </c:scatterChart>
      <c:valAx>
        <c:axId val="203353104"/>
        <c:scaling>
          <c:orientation val="minMax"/>
        </c:scaling>
        <c:delete val="0"/>
        <c:axPos val="b"/>
        <c:numFmt formatCode="General\ &quot;°&quot;" sourceLinked="0"/>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n-DE"/>
          </a:p>
        </c:txPr>
        <c:crossAx val="203354672"/>
        <c:crosses val="autoZero"/>
        <c:crossBetween val="midCat"/>
      </c:valAx>
      <c:valAx>
        <c:axId val="203354672"/>
        <c:scaling>
          <c:orientation val="minMax"/>
          <c:min val="0"/>
        </c:scaling>
        <c:delete val="0"/>
        <c:axPos val="l"/>
        <c:majorGridlines/>
        <c:numFmt formatCode="0.0\ &quot;A&quot;" sourceLinked="1"/>
        <c:majorTickMark val="out"/>
        <c:minorTickMark val="none"/>
        <c:tickLblPos val="nextTo"/>
        <c:crossAx val="203353104"/>
        <c:crosses val="autoZero"/>
        <c:crossBetween val="midCat"/>
      </c:valAx>
    </c:plotArea>
    <c:legend>
      <c:legendPos val="b"/>
      <c:layout>
        <c:manualLayout>
          <c:xMode val="edge"/>
          <c:yMode val="edge"/>
          <c:x val="0.12659500895721371"/>
          <c:y val="0.88743340482042055"/>
          <c:w val="0.77855580552431036"/>
          <c:h val="4.5150827319547393E-2"/>
        </c:manualLayout>
      </c:layout>
      <c:overlay val="0"/>
    </c:legend>
    <c:plotVisOnly val="1"/>
    <c:dispBlanksAs val="gap"/>
    <c:showDLblsOverMax val="0"/>
  </c:chart>
  <c:printSettings>
    <c:headerFooter/>
    <c:pageMargins b="0.750000000000002" l="0.70000000000000062" r="0.70000000000000062" t="0.750000000000002"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scatterChart>
        <c:scatterStyle val="lineMarker"/>
        <c:varyColors val="0"/>
        <c:ser>
          <c:idx val="0"/>
          <c:order val="0"/>
          <c:tx>
            <c:strRef>
              <c:f>'Calculation table RS'!$S$29</c:f>
              <c:strCache>
                <c:ptCount val="1"/>
                <c:pt idx="0">
                  <c:v>String Voc max.</c:v>
                </c:pt>
              </c:strCache>
            </c:strRef>
          </c:tx>
          <c:spPr>
            <a:ln>
              <a:solidFill>
                <a:srgbClr val="0070C0"/>
              </a:solidFill>
            </a:ln>
          </c:spPr>
          <c:marker>
            <c:symbol val="none"/>
          </c:marker>
          <c:xVal>
            <c:numRef>
              <c:f>'Calculation table RS'!$N$30:$N$33</c:f>
              <c:numCache>
                <c:formatCode>General</c:formatCode>
                <c:ptCount val="4"/>
                <c:pt idx="0">
                  <c:v>-10</c:v>
                </c:pt>
                <c:pt idx="1">
                  <c:v>-5</c:v>
                </c:pt>
                <c:pt idx="2">
                  <c:v>0</c:v>
                </c:pt>
                <c:pt idx="3">
                  <c:v>5</c:v>
                </c:pt>
              </c:numCache>
            </c:numRef>
          </c:xVal>
          <c:yVal>
            <c:numRef>
              <c:f>'Calculation table RS'!$S$30:$S$33</c:f>
              <c:numCache>
                <c:formatCode>0.0\ "V"</c:formatCode>
                <c:ptCount val="4"/>
                <c:pt idx="0">
                  <c:v>411.46359999999999</c:v>
                </c:pt>
                <c:pt idx="1">
                  <c:v>405.04880000000003</c:v>
                </c:pt>
                <c:pt idx="2">
                  <c:v>398.63400000000001</c:v>
                </c:pt>
                <c:pt idx="3">
                  <c:v>392.2192</c:v>
                </c:pt>
              </c:numCache>
            </c:numRef>
          </c:yVal>
          <c:smooth val="0"/>
          <c:extLst>
            <c:ext xmlns:c16="http://schemas.microsoft.com/office/drawing/2014/chart" uri="{C3380CC4-5D6E-409C-BE32-E72D297353CC}">
              <c16:uniqueId val="{00000000-C0A1-4C21-9016-82DAC2CEBC99}"/>
            </c:ext>
          </c:extLst>
        </c:ser>
        <c:ser>
          <c:idx val="7"/>
          <c:order val="1"/>
          <c:tx>
            <c:strRef>
              <c:f>'Calculation table RS'!$U$29</c:f>
              <c:strCache>
                <c:ptCount val="1"/>
                <c:pt idx="0">
                  <c:v>String Vmpp corr.max.</c:v>
                </c:pt>
              </c:strCache>
            </c:strRef>
          </c:tx>
          <c:spPr>
            <a:ln>
              <a:solidFill>
                <a:srgbClr val="00B0F0"/>
              </a:solidFill>
            </a:ln>
          </c:spPr>
          <c:marker>
            <c:symbol val="none"/>
          </c:marker>
          <c:xVal>
            <c:numRef>
              <c:f>'Calculation table RS'!$N$30:$N$33</c:f>
              <c:numCache>
                <c:formatCode>General</c:formatCode>
                <c:ptCount val="4"/>
                <c:pt idx="0">
                  <c:v>-10</c:v>
                </c:pt>
                <c:pt idx="1">
                  <c:v>-5</c:v>
                </c:pt>
                <c:pt idx="2">
                  <c:v>0</c:v>
                </c:pt>
                <c:pt idx="3">
                  <c:v>5</c:v>
                </c:pt>
              </c:numCache>
            </c:numRef>
          </c:xVal>
          <c:yVal>
            <c:numRef>
              <c:f>'Calculation table RS'!$U$30:$U$33</c:f>
              <c:numCache>
                <c:formatCode>0.0</c:formatCode>
                <c:ptCount val="4"/>
                <c:pt idx="0">
                  <c:v>343.76766653333328</c:v>
                </c:pt>
                <c:pt idx="1">
                  <c:v>337.35211893333337</c:v>
                </c:pt>
                <c:pt idx="2">
                  <c:v>330.93657133333335</c:v>
                </c:pt>
                <c:pt idx="3">
                  <c:v>324.52102373333332</c:v>
                </c:pt>
              </c:numCache>
            </c:numRef>
          </c:yVal>
          <c:smooth val="0"/>
          <c:extLst>
            <c:ext xmlns:c16="http://schemas.microsoft.com/office/drawing/2014/chart" uri="{C3380CC4-5D6E-409C-BE32-E72D297353CC}">
              <c16:uniqueId val="{00000001-C0A1-4C21-9016-82DAC2CEBC99}"/>
            </c:ext>
          </c:extLst>
        </c:ser>
        <c:ser>
          <c:idx val="2"/>
          <c:order val="2"/>
          <c:tx>
            <c:strRef>
              <c:f>'Calculation table RS'!$V$29</c:f>
              <c:strCache>
                <c:ptCount val="1"/>
                <c:pt idx="0">
                  <c:v>String Voc min.</c:v>
                </c:pt>
              </c:strCache>
            </c:strRef>
          </c:tx>
          <c:spPr>
            <a:ln>
              <a:solidFill>
                <a:srgbClr val="FFC000"/>
              </a:solidFill>
            </a:ln>
          </c:spPr>
          <c:marker>
            <c:symbol val="none"/>
          </c:marker>
          <c:xVal>
            <c:numRef>
              <c:f>'Calculation table RS'!$N$34:$N$37</c:f>
              <c:numCache>
                <c:formatCode>General</c:formatCode>
                <c:ptCount val="4"/>
                <c:pt idx="0">
                  <c:v>55</c:v>
                </c:pt>
                <c:pt idx="1">
                  <c:v>60</c:v>
                </c:pt>
                <c:pt idx="2">
                  <c:v>65</c:v>
                </c:pt>
                <c:pt idx="3">
                  <c:v>70</c:v>
                </c:pt>
              </c:numCache>
            </c:numRef>
          </c:xVal>
          <c:yVal>
            <c:numRef>
              <c:f>'Calculation table RS'!$V$34:$V$37</c:f>
              <c:numCache>
                <c:formatCode>0.0\ "V"</c:formatCode>
                <c:ptCount val="4"/>
                <c:pt idx="0">
                  <c:v>328.07119999999998</c:v>
                </c:pt>
                <c:pt idx="1">
                  <c:v>321.65640000000002</c:v>
                </c:pt>
                <c:pt idx="2">
                  <c:v>315.24160000000001</c:v>
                </c:pt>
                <c:pt idx="3">
                  <c:v>308.82679999999999</c:v>
                </c:pt>
              </c:numCache>
            </c:numRef>
          </c:yVal>
          <c:smooth val="0"/>
          <c:extLst>
            <c:ext xmlns:c16="http://schemas.microsoft.com/office/drawing/2014/chart" uri="{C3380CC4-5D6E-409C-BE32-E72D297353CC}">
              <c16:uniqueId val="{00000002-C0A1-4C21-9016-82DAC2CEBC99}"/>
            </c:ext>
          </c:extLst>
        </c:ser>
        <c:ser>
          <c:idx val="8"/>
          <c:order val="3"/>
          <c:tx>
            <c:strRef>
              <c:f>'Calculation table RS'!$X$29</c:f>
              <c:strCache>
                <c:ptCount val="1"/>
                <c:pt idx="0">
                  <c:v>String Vmpp corr. min.</c:v>
                </c:pt>
              </c:strCache>
            </c:strRef>
          </c:tx>
          <c:spPr>
            <a:ln>
              <a:solidFill>
                <a:srgbClr val="FFFF00"/>
              </a:solidFill>
            </a:ln>
          </c:spPr>
          <c:marker>
            <c:symbol val="none"/>
          </c:marker>
          <c:xVal>
            <c:numRef>
              <c:f>'Calculation table RS'!$N$34:$N$37</c:f>
              <c:numCache>
                <c:formatCode>General</c:formatCode>
                <c:ptCount val="4"/>
                <c:pt idx="0">
                  <c:v>55</c:v>
                </c:pt>
                <c:pt idx="1">
                  <c:v>60</c:v>
                </c:pt>
                <c:pt idx="2">
                  <c:v>65</c:v>
                </c:pt>
                <c:pt idx="3">
                  <c:v>70</c:v>
                </c:pt>
              </c:numCache>
            </c:numRef>
          </c:xVal>
          <c:yVal>
            <c:numRef>
              <c:f>'Calculation table RS'!$X$34:$X$37</c:f>
              <c:numCache>
                <c:formatCode>0.0\ "V"</c:formatCode>
                <c:ptCount val="4"/>
                <c:pt idx="0">
                  <c:v>260.3655477333333</c:v>
                </c:pt>
                <c:pt idx="1">
                  <c:v>253.95000013333333</c:v>
                </c:pt>
                <c:pt idx="2">
                  <c:v>247.53445253333334</c:v>
                </c:pt>
                <c:pt idx="3">
                  <c:v>241.11890493333331</c:v>
                </c:pt>
              </c:numCache>
            </c:numRef>
          </c:yVal>
          <c:smooth val="0"/>
          <c:extLst>
            <c:ext xmlns:c16="http://schemas.microsoft.com/office/drawing/2014/chart" uri="{C3380CC4-5D6E-409C-BE32-E72D297353CC}">
              <c16:uniqueId val="{00000003-C0A1-4C21-9016-82DAC2CEBC99}"/>
            </c:ext>
          </c:extLst>
        </c:ser>
        <c:ser>
          <c:idx val="4"/>
          <c:order val="4"/>
          <c:tx>
            <c:strRef>
              <c:f>'Calculation table RS'!$P$29</c:f>
              <c:strCache>
                <c:ptCount val="1"/>
                <c:pt idx="0">
                  <c:v>Voc max.</c:v>
                </c:pt>
              </c:strCache>
            </c:strRef>
          </c:tx>
          <c:spPr>
            <a:ln>
              <a:solidFill>
                <a:srgbClr val="FF0000"/>
              </a:solidFill>
            </a:ln>
          </c:spPr>
          <c:marker>
            <c:symbol val="none"/>
          </c:marker>
          <c:xVal>
            <c:numRef>
              <c:f>'Calculation table RS'!$N$30:$N$37</c:f>
              <c:numCache>
                <c:formatCode>General</c:formatCode>
                <c:ptCount val="8"/>
                <c:pt idx="0">
                  <c:v>-10</c:v>
                </c:pt>
                <c:pt idx="1">
                  <c:v>-5</c:v>
                </c:pt>
                <c:pt idx="2">
                  <c:v>0</c:v>
                </c:pt>
                <c:pt idx="3">
                  <c:v>5</c:v>
                </c:pt>
                <c:pt idx="4">
                  <c:v>55</c:v>
                </c:pt>
                <c:pt idx="5">
                  <c:v>60</c:v>
                </c:pt>
                <c:pt idx="6">
                  <c:v>65</c:v>
                </c:pt>
                <c:pt idx="7">
                  <c:v>70</c:v>
                </c:pt>
              </c:numCache>
            </c:numRef>
          </c:xVal>
          <c:yVal>
            <c:numRef>
              <c:f>'Calculation table RS'!$P$30:$P$37</c:f>
              <c:numCache>
                <c:formatCode>0.0\ "V"</c:formatCode>
                <c:ptCount val="8"/>
                <c:pt idx="0">
                  <c:v>432</c:v>
                </c:pt>
                <c:pt idx="1">
                  <c:v>432</c:v>
                </c:pt>
                <c:pt idx="2">
                  <c:v>432</c:v>
                </c:pt>
                <c:pt idx="3">
                  <c:v>432</c:v>
                </c:pt>
                <c:pt idx="4">
                  <c:v>432</c:v>
                </c:pt>
                <c:pt idx="5">
                  <c:v>432</c:v>
                </c:pt>
                <c:pt idx="6">
                  <c:v>432</c:v>
                </c:pt>
                <c:pt idx="7">
                  <c:v>432</c:v>
                </c:pt>
              </c:numCache>
            </c:numRef>
          </c:yVal>
          <c:smooth val="0"/>
          <c:extLst>
            <c:ext xmlns:c16="http://schemas.microsoft.com/office/drawing/2014/chart" uri="{C3380CC4-5D6E-409C-BE32-E72D297353CC}">
              <c16:uniqueId val="{00000004-C0A1-4C21-9016-82DAC2CEBC99}"/>
            </c:ext>
          </c:extLst>
        </c:ser>
        <c:ser>
          <c:idx val="5"/>
          <c:order val="5"/>
          <c:tx>
            <c:strRef>
              <c:f>'Calculation table RS'!$Q$29</c:f>
              <c:strCache>
                <c:ptCount val="1"/>
                <c:pt idx="0">
                  <c:v>Voc START min.</c:v>
                </c:pt>
              </c:strCache>
            </c:strRef>
          </c:tx>
          <c:spPr>
            <a:ln>
              <a:solidFill>
                <a:schemeClr val="tx2">
                  <a:lumMod val="20000"/>
                  <a:lumOff val="80000"/>
                </a:schemeClr>
              </a:solidFill>
              <a:prstDash val="dash"/>
            </a:ln>
          </c:spPr>
          <c:marker>
            <c:symbol val="none"/>
          </c:marker>
          <c:xVal>
            <c:numRef>
              <c:f>'Calculation table RS'!$N$30:$N$37</c:f>
              <c:numCache>
                <c:formatCode>General</c:formatCode>
                <c:ptCount val="8"/>
                <c:pt idx="0">
                  <c:v>-10</c:v>
                </c:pt>
                <c:pt idx="1">
                  <c:v>-5</c:v>
                </c:pt>
                <c:pt idx="2">
                  <c:v>0</c:v>
                </c:pt>
                <c:pt idx="3">
                  <c:v>5</c:v>
                </c:pt>
                <c:pt idx="4">
                  <c:v>55</c:v>
                </c:pt>
                <c:pt idx="5">
                  <c:v>60</c:v>
                </c:pt>
                <c:pt idx="6">
                  <c:v>65</c:v>
                </c:pt>
                <c:pt idx="7">
                  <c:v>70</c:v>
                </c:pt>
              </c:numCache>
            </c:numRef>
          </c:xVal>
          <c:yVal>
            <c:numRef>
              <c:f>'Calculation table RS'!$Q$30:$Q$37</c:f>
              <c:numCache>
                <c:formatCode>0.0\ "V"</c:formatCode>
                <c:ptCount val="8"/>
                <c:pt idx="0">
                  <c:v>120</c:v>
                </c:pt>
                <c:pt idx="1">
                  <c:v>120</c:v>
                </c:pt>
                <c:pt idx="2">
                  <c:v>120</c:v>
                </c:pt>
                <c:pt idx="3">
                  <c:v>120</c:v>
                </c:pt>
                <c:pt idx="4">
                  <c:v>120</c:v>
                </c:pt>
                <c:pt idx="5">
                  <c:v>120</c:v>
                </c:pt>
                <c:pt idx="6">
                  <c:v>120</c:v>
                </c:pt>
                <c:pt idx="7">
                  <c:v>120</c:v>
                </c:pt>
              </c:numCache>
            </c:numRef>
          </c:yVal>
          <c:smooth val="0"/>
          <c:extLst>
            <c:ext xmlns:c16="http://schemas.microsoft.com/office/drawing/2014/chart" uri="{C3380CC4-5D6E-409C-BE32-E72D297353CC}">
              <c16:uniqueId val="{00000005-C0A1-4C21-9016-82DAC2CEBC99}"/>
            </c:ext>
          </c:extLst>
        </c:ser>
        <c:ser>
          <c:idx val="6"/>
          <c:order val="6"/>
          <c:tx>
            <c:strRef>
              <c:f>'Calculation table RS'!$R$29</c:f>
              <c:strCache>
                <c:ptCount val="1"/>
                <c:pt idx="0">
                  <c:v>Vmpp RUN min.</c:v>
                </c:pt>
              </c:strCache>
            </c:strRef>
          </c:tx>
          <c:marker>
            <c:symbol val="none"/>
          </c:marker>
          <c:xVal>
            <c:numRef>
              <c:f>'Calculation table RS'!$N$30:$N$37</c:f>
              <c:numCache>
                <c:formatCode>General</c:formatCode>
                <c:ptCount val="8"/>
                <c:pt idx="0">
                  <c:v>-10</c:v>
                </c:pt>
                <c:pt idx="1">
                  <c:v>-5</c:v>
                </c:pt>
                <c:pt idx="2">
                  <c:v>0</c:v>
                </c:pt>
                <c:pt idx="3">
                  <c:v>5</c:v>
                </c:pt>
                <c:pt idx="4">
                  <c:v>55</c:v>
                </c:pt>
                <c:pt idx="5">
                  <c:v>60</c:v>
                </c:pt>
                <c:pt idx="6">
                  <c:v>65</c:v>
                </c:pt>
                <c:pt idx="7">
                  <c:v>70</c:v>
                </c:pt>
              </c:numCache>
            </c:numRef>
          </c:xVal>
          <c:yVal>
            <c:numRef>
              <c:f>'Calculation table RS'!$R$30:$R$37</c:f>
              <c:numCache>
                <c:formatCode>0.0\ "V"</c:formatCode>
                <c:ptCount val="8"/>
                <c:pt idx="0">
                  <c:v>80</c:v>
                </c:pt>
                <c:pt idx="1">
                  <c:v>80</c:v>
                </c:pt>
                <c:pt idx="2">
                  <c:v>80</c:v>
                </c:pt>
                <c:pt idx="3">
                  <c:v>80</c:v>
                </c:pt>
                <c:pt idx="4">
                  <c:v>80</c:v>
                </c:pt>
                <c:pt idx="5">
                  <c:v>80</c:v>
                </c:pt>
                <c:pt idx="6">
                  <c:v>80</c:v>
                </c:pt>
                <c:pt idx="7">
                  <c:v>80</c:v>
                </c:pt>
              </c:numCache>
            </c:numRef>
          </c:yVal>
          <c:smooth val="0"/>
          <c:extLst>
            <c:ext xmlns:c16="http://schemas.microsoft.com/office/drawing/2014/chart" uri="{C3380CC4-5D6E-409C-BE32-E72D297353CC}">
              <c16:uniqueId val="{00000006-C0A1-4C21-9016-82DAC2CEBC99}"/>
            </c:ext>
          </c:extLst>
        </c:ser>
        <c:dLbls>
          <c:showLegendKey val="0"/>
          <c:showVal val="0"/>
          <c:showCatName val="0"/>
          <c:showSerName val="0"/>
          <c:showPercent val="0"/>
          <c:showBubbleSize val="0"/>
        </c:dLbls>
        <c:axId val="204192656"/>
        <c:axId val="203360552"/>
      </c:scatterChart>
      <c:valAx>
        <c:axId val="204192656"/>
        <c:scaling>
          <c:orientation val="minMax"/>
        </c:scaling>
        <c:delete val="0"/>
        <c:axPos val="b"/>
        <c:numFmt formatCode="General\ &quot;°&quot;" sourceLinked="0"/>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n-DE"/>
          </a:p>
        </c:txPr>
        <c:crossAx val="203360552"/>
        <c:crosses val="autoZero"/>
        <c:crossBetween val="midCat"/>
      </c:valAx>
      <c:valAx>
        <c:axId val="203360552"/>
        <c:scaling>
          <c:orientation val="minMax"/>
        </c:scaling>
        <c:delete val="0"/>
        <c:axPos val="l"/>
        <c:majorGridlines/>
        <c:numFmt formatCode="0.0\ &quot;V&quot;" sourceLinked="1"/>
        <c:majorTickMark val="out"/>
        <c:minorTickMark val="none"/>
        <c:tickLblPos val="nextTo"/>
        <c:crossAx val="204192656"/>
        <c:crosses val="autoZero"/>
        <c:crossBetween val="midCat"/>
      </c:valAx>
    </c:plotArea>
    <c:legend>
      <c:legendPos val="b"/>
      <c:layout>
        <c:manualLayout>
          <c:xMode val="edge"/>
          <c:yMode val="edge"/>
          <c:x val="4.3956457634030787E-3"/>
          <c:y val="0.81327489133440811"/>
          <c:w val="0.98913992324664601"/>
          <c:h val="0.18672510866559175"/>
        </c:manualLayout>
      </c:layout>
      <c:overlay val="0"/>
    </c:legend>
    <c:plotVisOnly val="1"/>
    <c:dispBlanksAs val="gap"/>
    <c:showDLblsOverMax val="0"/>
  </c:chart>
  <c:printSettings>
    <c:headerFooter/>
    <c:pageMargins b="0.750000000000002" l="0.70000000000000062" r="0.70000000000000062" t="0.750000000000002"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1084656084656082E-2"/>
          <c:y val="2.7721641703453079E-2"/>
          <c:w val="0.88187830687830693"/>
          <c:h val="0.76470145296697156"/>
        </c:manualLayout>
      </c:layout>
      <c:scatterChart>
        <c:scatterStyle val="lineMarker"/>
        <c:varyColors val="0"/>
        <c:ser>
          <c:idx val="0"/>
          <c:order val="0"/>
          <c:tx>
            <c:strRef>
              <c:f>'Calculation table RS'!$C$39</c:f>
              <c:strCache>
                <c:ptCount val="1"/>
                <c:pt idx="0">
                  <c:v>Ibat max.</c:v>
                </c:pt>
              </c:strCache>
            </c:strRef>
          </c:tx>
          <c:spPr>
            <a:ln>
              <a:solidFill>
                <a:srgbClr val="FF0000"/>
              </a:solidFill>
            </a:ln>
          </c:spPr>
          <c:marker>
            <c:symbol val="none"/>
          </c:marker>
          <c:xVal>
            <c:numRef>
              <c:f>'Calculation table RS'!$A$40:$A$47</c:f>
              <c:numCache>
                <c:formatCode>General</c:formatCode>
                <c:ptCount val="8"/>
                <c:pt idx="0">
                  <c:v>-10</c:v>
                </c:pt>
                <c:pt idx="1">
                  <c:v>-5</c:v>
                </c:pt>
                <c:pt idx="2">
                  <c:v>0</c:v>
                </c:pt>
                <c:pt idx="3">
                  <c:v>5</c:v>
                </c:pt>
                <c:pt idx="4">
                  <c:v>55</c:v>
                </c:pt>
                <c:pt idx="5">
                  <c:v>60</c:v>
                </c:pt>
                <c:pt idx="6">
                  <c:v>65</c:v>
                </c:pt>
                <c:pt idx="7">
                  <c:v>70</c:v>
                </c:pt>
              </c:numCache>
            </c:numRef>
          </c:xVal>
          <c:yVal>
            <c:numRef>
              <c:f>'Calculation table RS'!$C$40:$C$47</c:f>
              <c:numCache>
                <c:formatCode>0.0\ "A"</c:formatCode>
                <c:ptCount val="8"/>
                <c:pt idx="0">
                  <c:v>100</c:v>
                </c:pt>
                <c:pt idx="1">
                  <c:v>100</c:v>
                </c:pt>
                <c:pt idx="2">
                  <c:v>100</c:v>
                </c:pt>
                <c:pt idx="3">
                  <c:v>100</c:v>
                </c:pt>
                <c:pt idx="4">
                  <c:v>100</c:v>
                </c:pt>
                <c:pt idx="5">
                  <c:v>100</c:v>
                </c:pt>
                <c:pt idx="6">
                  <c:v>100</c:v>
                </c:pt>
                <c:pt idx="7">
                  <c:v>100</c:v>
                </c:pt>
              </c:numCache>
            </c:numRef>
          </c:yVal>
          <c:smooth val="0"/>
          <c:extLst>
            <c:ext xmlns:c16="http://schemas.microsoft.com/office/drawing/2014/chart" uri="{C3380CC4-5D6E-409C-BE32-E72D297353CC}">
              <c16:uniqueId val="{00000000-603C-4761-93FC-306E7EFCC5D9}"/>
            </c:ext>
          </c:extLst>
        </c:ser>
        <c:ser>
          <c:idx val="2"/>
          <c:order val="1"/>
          <c:tx>
            <c:strRef>
              <c:f>'Calculation table RS'!$F$53</c:f>
              <c:strCache>
                <c:ptCount val="1"/>
                <c:pt idx="0">
                  <c:v>Ibat max. @ Impp</c:v>
                </c:pt>
              </c:strCache>
            </c:strRef>
          </c:tx>
          <c:spPr>
            <a:ln>
              <a:solidFill>
                <a:srgbClr val="0070C0"/>
              </a:solidFill>
            </a:ln>
          </c:spPr>
          <c:marker>
            <c:symbol val="none"/>
          </c:marker>
          <c:xVal>
            <c:numRef>
              <c:f>'Calculation table RS'!$A$54:$A$57</c:f>
              <c:numCache>
                <c:formatCode>General</c:formatCode>
                <c:ptCount val="4"/>
                <c:pt idx="0">
                  <c:v>-10</c:v>
                </c:pt>
                <c:pt idx="1">
                  <c:v>-5</c:v>
                </c:pt>
                <c:pt idx="2">
                  <c:v>0</c:v>
                </c:pt>
                <c:pt idx="3">
                  <c:v>5</c:v>
                </c:pt>
              </c:numCache>
            </c:numRef>
          </c:xVal>
          <c:yVal>
            <c:numRef>
              <c:f>'Calculation table RS'!$F$54:$F$57</c:f>
              <c:numCache>
                <c:formatCode>0.00\ "A"</c:formatCode>
                <c:ptCount val="4"/>
                <c:pt idx="0">
                  <c:v>100</c:v>
                </c:pt>
                <c:pt idx="1">
                  <c:v>100</c:v>
                </c:pt>
                <c:pt idx="2">
                  <c:v>100</c:v>
                </c:pt>
                <c:pt idx="3">
                  <c:v>100</c:v>
                </c:pt>
              </c:numCache>
            </c:numRef>
          </c:yVal>
          <c:smooth val="0"/>
          <c:extLst>
            <c:ext xmlns:c16="http://schemas.microsoft.com/office/drawing/2014/chart" uri="{C3380CC4-5D6E-409C-BE32-E72D297353CC}">
              <c16:uniqueId val="{00000001-603C-4761-93FC-306E7EFCC5D9}"/>
            </c:ext>
          </c:extLst>
        </c:ser>
        <c:ser>
          <c:idx val="4"/>
          <c:order val="2"/>
          <c:tx>
            <c:strRef>
              <c:f>'Calculation table RS'!$G$53</c:f>
              <c:strCache>
                <c:ptCount val="1"/>
                <c:pt idx="0">
                  <c:v>Ibat min. @ Impp</c:v>
                </c:pt>
              </c:strCache>
            </c:strRef>
          </c:tx>
          <c:spPr>
            <a:ln>
              <a:solidFill>
                <a:srgbClr val="FFC000"/>
              </a:solidFill>
            </a:ln>
          </c:spPr>
          <c:marker>
            <c:symbol val="none"/>
          </c:marker>
          <c:xVal>
            <c:numRef>
              <c:f>'Calculation table RS'!$A$58:$A$61</c:f>
              <c:numCache>
                <c:formatCode>General</c:formatCode>
                <c:ptCount val="4"/>
                <c:pt idx="0">
                  <c:v>55</c:v>
                </c:pt>
                <c:pt idx="1">
                  <c:v>60</c:v>
                </c:pt>
                <c:pt idx="2">
                  <c:v>65</c:v>
                </c:pt>
                <c:pt idx="3">
                  <c:v>70</c:v>
                </c:pt>
              </c:numCache>
            </c:numRef>
          </c:xVal>
          <c:yVal>
            <c:numRef>
              <c:f>'Calculation table RS'!$G$58:$G$61</c:f>
              <c:numCache>
                <c:formatCode>0.00\ "A"</c:formatCode>
                <c:ptCount val="4"/>
                <c:pt idx="0">
                  <c:v>93.026448961599982</c:v>
                </c:pt>
                <c:pt idx="1">
                  <c:v>90.933786101899997</c:v>
                </c:pt>
                <c:pt idx="2">
                  <c:v>88.831221998399997</c:v>
                </c:pt>
                <c:pt idx="3">
                  <c:v>86.718756651099994</c:v>
                </c:pt>
              </c:numCache>
            </c:numRef>
          </c:yVal>
          <c:smooth val="0"/>
          <c:extLst>
            <c:ext xmlns:c16="http://schemas.microsoft.com/office/drawing/2014/chart" uri="{C3380CC4-5D6E-409C-BE32-E72D297353CC}">
              <c16:uniqueId val="{00000002-603C-4761-93FC-306E7EFCC5D9}"/>
            </c:ext>
          </c:extLst>
        </c:ser>
        <c:dLbls>
          <c:showLegendKey val="0"/>
          <c:showVal val="0"/>
          <c:showCatName val="0"/>
          <c:showSerName val="0"/>
          <c:showPercent val="0"/>
          <c:showBubbleSize val="0"/>
        </c:dLbls>
        <c:axId val="203353104"/>
        <c:axId val="203354672"/>
      </c:scatterChart>
      <c:valAx>
        <c:axId val="203353104"/>
        <c:scaling>
          <c:orientation val="minMax"/>
        </c:scaling>
        <c:delete val="0"/>
        <c:axPos val="b"/>
        <c:numFmt formatCode="General\ &quot;°&quot;" sourceLinked="0"/>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n-DE"/>
          </a:p>
        </c:txPr>
        <c:crossAx val="203354672"/>
        <c:crosses val="autoZero"/>
        <c:crossBetween val="midCat"/>
      </c:valAx>
      <c:valAx>
        <c:axId val="203354672"/>
        <c:scaling>
          <c:orientation val="minMax"/>
          <c:min val="0"/>
        </c:scaling>
        <c:delete val="0"/>
        <c:axPos val="l"/>
        <c:majorGridlines/>
        <c:numFmt formatCode="0.0\ &quot;A&quot;" sourceLinked="1"/>
        <c:majorTickMark val="out"/>
        <c:minorTickMark val="none"/>
        <c:tickLblPos val="nextTo"/>
        <c:crossAx val="203353104"/>
        <c:crosses val="autoZero"/>
        <c:crossBetween val="midCat"/>
      </c:valAx>
    </c:plotArea>
    <c:legend>
      <c:legendPos val="b"/>
      <c:layout>
        <c:manualLayout>
          <c:xMode val="edge"/>
          <c:yMode val="edge"/>
          <c:x val="0.12659500895721371"/>
          <c:y val="0.88743340482042055"/>
          <c:w val="0.77855580552431036"/>
          <c:h val="4.5150827319547393E-2"/>
        </c:manualLayout>
      </c:layout>
      <c:overlay val="0"/>
    </c:legend>
    <c:plotVisOnly val="1"/>
    <c:dispBlanksAs val="gap"/>
    <c:showDLblsOverMax val="0"/>
  </c:chart>
  <c:printSettings>
    <c:headerFooter/>
    <c:pageMargins b="0.750000000000002" l="0.70000000000000062" r="0.70000000000000062" t="0.750000000000002"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scatterChart>
        <c:scatterStyle val="lineMarker"/>
        <c:varyColors val="0"/>
        <c:ser>
          <c:idx val="0"/>
          <c:order val="0"/>
          <c:tx>
            <c:strRef>
              <c:f>'Calculation table RS'!$F$29</c:f>
              <c:strCache>
                <c:ptCount val="1"/>
                <c:pt idx="0">
                  <c:v>String Voc max.</c:v>
                </c:pt>
              </c:strCache>
            </c:strRef>
          </c:tx>
          <c:spPr>
            <a:ln>
              <a:solidFill>
                <a:srgbClr val="0070C0"/>
              </a:solidFill>
            </a:ln>
          </c:spPr>
          <c:marker>
            <c:symbol val="none"/>
          </c:marker>
          <c:xVal>
            <c:numRef>
              <c:f>'Calculation table RS'!$A$30:$A$33</c:f>
              <c:numCache>
                <c:formatCode>General</c:formatCode>
                <c:ptCount val="4"/>
                <c:pt idx="0">
                  <c:v>-10</c:v>
                </c:pt>
                <c:pt idx="1">
                  <c:v>-5</c:v>
                </c:pt>
                <c:pt idx="2">
                  <c:v>0</c:v>
                </c:pt>
                <c:pt idx="3">
                  <c:v>5</c:v>
                </c:pt>
              </c:numCache>
            </c:numRef>
          </c:xVal>
          <c:yVal>
            <c:numRef>
              <c:f>'Calculation table RS'!$F$30:$F$33</c:f>
              <c:numCache>
                <c:formatCode>0.0\ "V"</c:formatCode>
                <c:ptCount val="4"/>
                <c:pt idx="0">
                  <c:v>411.46359999999999</c:v>
                </c:pt>
                <c:pt idx="1">
                  <c:v>405.04880000000003</c:v>
                </c:pt>
                <c:pt idx="2">
                  <c:v>398.63400000000001</c:v>
                </c:pt>
                <c:pt idx="3">
                  <c:v>392.2192</c:v>
                </c:pt>
              </c:numCache>
            </c:numRef>
          </c:yVal>
          <c:smooth val="0"/>
          <c:extLst>
            <c:ext xmlns:c16="http://schemas.microsoft.com/office/drawing/2014/chart" uri="{C3380CC4-5D6E-409C-BE32-E72D297353CC}">
              <c16:uniqueId val="{00000000-6481-45AD-8777-57A533839503}"/>
            </c:ext>
          </c:extLst>
        </c:ser>
        <c:ser>
          <c:idx val="7"/>
          <c:order val="1"/>
          <c:tx>
            <c:strRef>
              <c:f>'Calculation table RS'!$H$29</c:f>
              <c:strCache>
                <c:ptCount val="1"/>
                <c:pt idx="0">
                  <c:v>String Vmpp corr.max.</c:v>
                </c:pt>
              </c:strCache>
            </c:strRef>
          </c:tx>
          <c:spPr>
            <a:ln>
              <a:solidFill>
                <a:srgbClr val="00B0F0"/>
              </a:solidFill>
            </a:ln>
          </c:spPr>
          <c:marker>
            <c:symbol val="none"/>
          </c:marker>
          <c:xVal>
            <c:numRef>
              <c:f>'Calculation table RS'!$A$30:$A$33</c:f>
              <c:numCache>
                <c:formatCode>General</c:formatCode>
                <c:ptCount val="4"/>
                <c:pt idx="0">
                  <c:v>-10</c:v>
                </c:pt>
                <c:pt idx="1">
                  <c:v>-5</c:v>
                </c:pt>
                <c:pt idx="2">
                  <c:v>0</c:v>
                </c:pt>
                <c:pt idx="3">
                  <c:v>5</c:v>
                </c:pt>
              </c:numCache>
            </c:numRef>
          </c:xVal>
          <c:yVal>
            <c:numRef>
              <c:f>'Calculation table RS'!$H$30:$H$33</c:f>
              <c:numCache>
                <c:formatCode>0.0</c:formatCode>
                <c:ptCount val="4"/>
                <c:pt idx="0">
                  <c:v>343.43173306666665</c:v>
                </c:pt>
                <c:pt idx="1">
                  <c:v>337.01543786666667</c:v>
                </c:pt>
                <c:pt idx="2">
                  <c:v>330.59914266666669</c:v>
                </c:pt>
                <c:pt idx="3">
                  <c:v>324.18284746666666</c:v>
                </c:pt>
              </c:numCache>
            </c:numRef>
          </c:yVal>
          <c:smooth val="0"/>
          <c:extLst>
            <c:ext xmlns:c16="http://schemas.microsoft.com/office/drawing/2014/chart" uri="{C3380CC4-5D6E-409C-BE32-E72D297353CC}">
              <c16:uniqueId val="{00000001-6481-45AD-8777-57A533839503}"/>
            </c:ext>
          </c:extLst>
        </c:ser>
        <c:ser>
          <c:idx val="2"/>
          <c:order val="2"/>
          <c:tx>
            <c:strRef>
              <c:f>'Calculation table RS'!$I$29</c:f>
              <c:strCache>
                <c:ptCount val="1"/>
                <c:pt idx="0">
                  <c:v>String Voc min.</c:v>
                </c:pt>
              </c:strCache>
            </c:strRef>
          </c:tx>
          <c:spPr>
            <a:ln>
              <a:solidFill>
                <a:srgbClr val="FFC000"/>
              </a:solidFill>
            </a:ln>
          </c:spPr>
          <c:marker>
            <c:symbol val="none"/>
          </c:marker>
          <c:xVal>
            <c:numRef>
              <c:f>'Calculation table RS'!$A$34:$A$37</c:f>
              <c:numCache>
                <c:formatCode>General</c:formatCode>
                <c:ptCount val="4"/>
                <c:pt idx="0">
                  <c:v>55</c:v>
                </c:pt>
                <c:pt idx="1">
                  <c:v>60</c:v>
                </c:pt>
                <c:pt idx="2">
                  <c:v>65</c:v>
                </c:pt>
                <c:pt idx="3">
                  <c:v>70</c:v>
                </c:pt>
              </c:numCache>
            </c:numRef>
          </c:xVal>
          <c:yVal>
            <c:numRef>
              <c:f>'Calculation table RS'!$I$34:$I$37</c:f>
              <c:numCache>
                <c:formatCode>0.0\ "V"</c:formatCode>
                <c:ptCount val="4"/>
                <c:pt idx="0">
                  <c:v>328.07119999999998</c:v>
                </c:pt>
                <c:pt idx="1">
                  <c:v>321.65640000000002</c:v>
                </c:pt>
                <c:pt idx="2">
                  <c:v>315.24160000000001</c:v>
                </c:pt>
                <c:pt idx="3">
                  <c:v>308.82679999999999</c:v>
                </c:pt>
              </c:numCache>
            </c:numRef>
          </c:yVal>
          <c:smooth val="0"/>
          <c:extLst>
            <c:ext xmlns:c16="http://schemas.microsoft.com/office/drawing/2014/chart" uri="{C3380CC4-5D6E-409C-BE32-E72D297353CC}">
              <c16:uniqueId val="{00000002-6481-45AD-8777-57A533839503}"/>
            </c:ext>
          </c:extLst>
        </c:ser>
        <c:ser>
          <c:idx val="8"/>
          <c:order val="3"/>
          <c:tx>
            <c:strRef>
              <c:f>'Calculation table RS'!$K$29</c:f>
              <c:strCache>
                <c:ptCount val="1"/>
                <c:pt idx="0">
                  <c:v>String Vmpp corr. min.</c:v>
                </c:pt>
              </c:strCache>
            </c:strRef>
          </c:tx>
          <c:spPr>
            <a:ln>
              <a:solidFill>
                <a:srgbClr val="FFFF00"/>
              </a:solidFill>
            </a:ln>
          </c:spPr>
          <c:marker>
            <c:symbol val="none"/>
          </c:marker>
          <c:xVal>
            <c:numRef>
              <c:f>'Calculation table RS'!$A$34:$A$37</c:f>
              <c:numCache>
                <c:formatCode>General</c:formatCode>
                <c:ptCount val="4"/>
                <c:pt idx="0">
                  <c:v>55</c:v>
                </c:pt>
                <c:pt idx="1">
                  <c:v>60</c:v>
                </c:pt>
                <c:pt idx="2">
                  <c:v>65</c:v>
                </c:pt>
                <c:pt idx="3">
                  <c:v>70</c:v>
                </c:pt>
              </c:numCache>
            </c:numRef>
          </c:xVal>
          <c:yVal>
            <c:numRef>
              <c:f>'Calculation table RS'!$K$34:$K$37</c:f>
              <c:numCache>
                <c:formatCode>0.0\ "V"</c:formatCode>
                <c:ptCount val="4"/>
                <c:pt idx="0">
                  <c:v>260.01989546666664</c:v>
                </c:pt>
                <c:pt idx="1">
                  <c:v>253.60360026666666</c:v>
                </c:pt>
                <c:pt idx="2">
                  <c:v>247.18730506666665</c:v>
                </c:pt>
                <c:pt idx="3">
                  <c:v>240.77100986666665</c:v>
                </c:pt>
              </c:numCache>
            </c:numRef>
          </c:yVal>
          <c:smooth val="0"/>
          <c:extLst>
            <c:ext xmlns:c16="http://schemas.microsoft.com/office/drawing/2014/chart" uri="{C3380CC4-5D6E-409C-BE32-E72D297353CC}">
              <c16:uniqueId val="{00000003-6481-45AD-8777-57A533839503}"/>
            </c:ext>
          </c:extLst>
        </c:ser>
        <c:ser>
          <c:idx val="4"/>
          <c:order val="4"/>
          <c:tx>
            <c:strRef>
              <c:f>'Calculation table RS'!$C$29</c:f>
              <c:strCache>
                <c:ptCount val="1"/>
                <c:pt idx="0">
                  <c:v>Voc max.</c:v>
                </c:pt>
              </c:strCache>
            </c:strRef>
          </c:tx>
          <c:spPr>
            <a:ln>
              <a:solidFill>
                <a:srgbClr val="FF0000"/>
              </a:solidFill>
            </a:ln>
          </c:spPr>
          <c:marker>
            <c:symbol val="none"/>
          </c:marker>
          <c:xVal>
            <c:numRef>
              <c:f>'Calculation table RS'!$A$30:$A$37</c:f>
              <c:numCache>
                <c:formatCode>General</c:formatCode>
                <c:ptCount val="8"/>
                <c:pt idx="0">
                  <c:v>-10</c:v>
                </c:pt>
                <c:pt idx="1">
                  <c:v>-5</c:v>
                </c:pt>
                <c:pt idx="2">
                  <c:v>0</c:v>
                </c:pt>
                <c:pt idx="3">
                  <c:v>5</c:v>
                </c:pt>
                <c:pt idx="4">
                  <c:v>55</c:v>
                </c:pt>
                <c:pt idx="5">
                  <c:v>60</c:v>
                </c:pt>
                <c:pt idx="6">
                  <c:v>65</c:v>
                </c:pt>
                <c:pt idx="7">
                  <c:v>70</c:v>
                </c:pt>
              </c:numCache>
            </c:numRef>
          </c:xVal>
          <c:yVal>
            <c:numRef>
              <c:f>'Calculation table RS'!$C$30:$C$37</c:f>
              <c:numCache>
                <c:formatCode>0.0\ "V"</c:formatCode>
                <c:ptCount val="8"/>
                <c:pt idx="0">
                  <c:v>432</c:v>
                </c:pt>
                <c:pt idx="1">
                  <c:v>432</c:v>
                </c:pt>
                <c:pt idx="2">
                  <c:v>432</c:v>
                </c:pt>
                <c:pt idx="3">
                  <c:v>432</c:v>
                </c:pt>
                <c:pt idx="4">
                  <c:v>432</c:v>
                </c:pt>
                <c:pt idx="5">
                  <c:v>432</c:v>
                </c:pt>
                <c:pt idx="6">
                  <c:v>432</c:v>
                </c:pt>
                <c:pt idx="7">
                  <c:v>432</c:v>
                </c:pt>
              </c:numCache>
            </c:numRef>
          </c:yVal>
          <c:smooth val="0"/>
          <c:extLst>
            <c:ext xmlns:c16="http://schemas.microsoft.com/office/drawing/2014/chart" uri="{C3380CC4-5D6E-409C-BE32-E72D297353CC}">
              <c16:uniqueId val="{00000004-6481-45AD-8777-57A533839503}"/>
            </c:ext>
          </c:extLst>
        </c:ser>
        <c:ser>
          <c:idx val="5"/>
          <c:order val="5"/>
          <c:tx>
            <c:strRef>
              <c:f>'Calculation table RS'!$D$29</c:f>
              <c:strCache>
                <c:ptCount val="1"/>
                <c:pt idx="0">
                  <c:v>Voc START min.</c:v>
                </c:pt>
              </c:strCache>
            </c:strRef>
          </c:tx>
          <c:spPr>
            <a:ln>
              <a:solidFill>
                <a:schemeClr val="tx2">
                  <a:lumMod val="20000"/>
                  <a:lumOff val="80000"/>
                </a:schemeClr>
              </a:solidFill>
              <a:prstDash val="dash"/>
            </a:ln>
          </c:spPr>
          <c:marker>
            <c:symbol val="none"/>
          </c:marker>
          <c:xVal>
            <c:numRef>
              <c:f>'Calculation table RS'!$A$30:$A$37</c:f>
              <c:numCache>
                <c:formatCode>General</c:formatCode>
                <c:ptCount val="8"/>
                <c:pt idx="0">
                  <c:v>-10</c:v>
                </c:pt>
                <c:pt idx="1">
                  <c:v>-5</c:v>
                </c:pt>
                <c:pt idx="2">
                  <c:v>0</c:v>
                </c:pt>
                <c:pt idx="3">
                  <c:v>5</c:v>
                </c:pt>
                <c:pt idx="4">
                  <c:v>55</c:v>
                </c:pt>
                <c:pt idx="5">
                  <c:v>60</c:v>
                </c:pt>
                <c:pt idx="6">
                  <c:v>65</c:v>
                </c:pt>
                <c:pt idx="7">
                  <c:v>70</c:v>
                </c:pt>
              </c:numCache>
            </c:numRef>
          </c:xVal>
          <c:yVal>
            <c:numRef>
              <c:f>'Calculation table RS'!$D$30:$D$37</c:f>
              <c:numCache>
                <c:formatCode>0.0\ "V"</c:formatCode>
                <c:ptCount val="8"/>
                <c:pt idx="0">
                  <c:v>120</c:v>
                </c:pt>
                <c:pt idx="1">
                  <c:v>120</c:v>
                </c:pt>
                <c:pt idx="2">
                  <c:v>120</c:v>
                </c:pt>
                <c:pt idx="3">
                  <c:v>120</c:v>
                </c:pt>
                <c:pt idx="4">
                  <c:v>120</c:v>
                </c:pt>
                <c:pt idx="5">
                  <c:v>120</c:v>
                </c:pt>
                <c:pt idx="6">
                  <c:v>120</c:v>
                </c:pt>
                <c:pt idx="7">
                  <c:v>120</c:v>
                </c:pt>
              </c:numCache>
            </c:numRef>
          </c:yVal>
          <c:smooth val="0"/>
          <c:extLst>
            <c:ext xmlns:c16="http://schemas.microsoft.com/office/drawing/2014/chart" uri="{C3380CC4-5D6E-409C-BE32-E72D297353CC}">
              <c16:uniqueId val="{00000005-6481-45AD-8777-57A533839503}"/>
            </c:ext>
          </c:extLst>
        </c:ser>
        <c:ser>
          <c:idx val="6"/>
          <c:order val="6"/>
          <c:tx>
            <c:strRef>
              <c:f>'Calculation table RS'!$E$29</c:f>
              <c:strCache>
                <c:ptCount val="1"/>
                <c:pt idx="0">
                  <c:v>Vmpp RUN min.</c:v>
                </c:pt>
              </c:strCache>
            </c:strRef>
          </c:tx>
          <c:marker>
            <c:symbol val="none"/>
          </c:marker>
          <c:xVal>
            <c:numRef>
              <c:f>'Calculation table RS'!$A$30:$A$37</c:f>
              <c:numCache>
                <c:formatCode>General</c:formatCode>
                <c:ptCount val="8"/>
                <c:pt idx="0">
                  <c:v>-10</c:v>
                </c:pt>
                <c:pt idx="1">
                  <c:v>-5</c:v>
                </c:pt>
                <c:pt idx="2">
                  <c:v>0</c:v>
                </c:pt>
                <c:pt idx="3">
                  <c:v>5</c:v>
                </c:pt>
                <c:pt idx="4">
                  <c:v>55</c:v>
                </c:pt>
                <c:pt idx="5">
                  <c:v>60</c:v>
                </c:pt>
                <c:pt idx="6">
                  <c:v>65</c:v>
                </c:pt>
                <c:pt idx="7">
                  <c:v>70</c:v>
                </c:pt>
              </c:numCache>
            </c:numRef>
          </c:xVal>
          <c:yVal>
            <c:numRef>
              <c:f>'Calculation table RS'!$E$30:$E$37</c:f>
              <c:numCache>
                <c:formatCode>0.0\ "V"</c:formatCode>
                <c:ptCount val="8"/>
                <c:pt idx="0">
                  <c:v>80</c:v>
                </c:pt>
                <c:pt idx="1">
                  <c:v>80</c:v>
                </c:pt>
                <c:pt idx="2">
                  <c:v>80</c:v>
                </c:pt>
                <c:pt idx="3">
                  <c:v>80</c:v>
                </c:pt>
                <c:pt idx="4">
                  <c:v>80</c:v>
                </c:pt>
                <c:pt idx="5">
                  <c:v>80</c:v>
                </c:pt>
                <c:pt idx="6">
                  <c:v>80</c:v>
                </c:pt>
                <c:pt idx="7">
                  <c:v>80</c:v>
                </c:pt>
              </c:numCache>
            </c:numRef>
          </c:yVal>
          <c:smooth val="0"/>
          <c:extLst>
            <c:ext xmlns:c16="http://schemas.microsoft.com/office/drawing/2014/chart" uri="{C3380CC4-5D6E-409C-BE32-E72D297353CC}">
              <c16:uniqueId val="{00000006-6481-45AD-8777-57A533839503}"/>
            </c:ext>
          </c:extLst>
        </c:ser>
        <c:dLbls>
          <c:showLegendKey val="0"/>
          <c:showVal val="0"/>
          <c:showCatName val="0"/>
          <c:showSerName val="0"/>
          <c:showPercent val="0"/>
          <c:showBubbleSize val="0"/>
        </c:dLbls>
        <c:axId val="204192656"/>
        <c:axId val="203360552"/>
      </c:scatterChart>
      <c:valAx>
        <c:axId val="204192656"/>
        <c:scaling>
          <c:orientation val="minMax"/>
        </c:scaling>
        <c:delete val="0"/>
        <c:axPos val="b"/>
        <c:numFmt formatCode="General\ &quot;°&quot;" sourceLinked="0"/>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n-DE"/>
          </a:p>
        </c:txPr>
        <c:crossAx val="203360552"/>
        <c:crosses val="autoZero"/>
        <c:crossBetween val="midCat"/>
      </c:valAx>
      <c:valAx>
        <c:axId val="203360552"/>
        <c:scaling>
          <c:orientation val="minMax"/>
        </c:scaling>
        <c:delete val="0"/>
        <c:axPos val="l"/>
        <c:majorGridlines/>
        <c:numFmt formatCode="0.0\ &quot;V&quot;" sourceLinked="1"/>
        <c:majorTickMark val="out"/>
        <c:minorTickMark val="none"/>
        <c:tickLblPos val="nextTo"/>
        <c:crossAx val="204192656"/>
        <c:crosses val="autoZero"/>
        <c:crossBetween val="midCat"/>
      </c:valAx>
    </c:plotArea>
    <c:legend>
      <c:legendPos val="b"/>
      <c:layout>
        <c:manualLayout>
          <c:xMode val="edge"/>
          <c:yMode val="edge"/>
          <c:x val="4.3956457634030787E-3"/>
          <c:y val="0.81327489133440811"/>
          <c:w val="0.98913992324664601"/>
          <c:h val="0.18672510866559175"/>
        </c:manualLayout>
      </c:layout>
      <c:overlay val="0"/>
    </c:legend>
    <c:plotVisOnly val="1"/>
    <c:dispBlanksAs val="gap"/>
    <c:showDLblsOverMax val="0"/>
  </c:chart>
  <c:printSettings>
    <c:headerFooter/>
    <c:pageMargins b="0.750000000000002" l="0.70000000000000062" r="0.70000000000000062" t="0.750000000000002" header="0.30000000000000032" footer="0.30000000000000032"/>
    <c:pageSetup/>
  </c:printSettings>
</c:chartSpace>
</file>

<file path=xl/ctrlProps/ctrlProp1.xml><?xml version="1.0" encoding="utf-8"?>
<formControlPr xmlns="http://schemas.microsoft.com/office/spreadsheetml/2009/9/main" objectType="Drop" dropLines="13" dropStyle="combo" dx="22" fmlaLink="$D$4" fmlaRange="Modules!$A$3:$A$34" sel="10" val="8"/>
</file>

<file path=xl/ctrlProps/ctrlProp2.xml><?xml version="1.0" encoding="utf-8"?>
<formControlPr xmlns="http://schemas.microsoft.com/office/spreadsheetml/2009/9/main" objectType="Drop" dropStyle="combo" dx="22" fmlaLink="$D$13" fmlaRange="Regulator!$C$2:$C$17" sel="16" val="8"/>
</file>

<file path=xl/ctrlProps/ctrlProp3.xml><?xml version="1.0" encoding="utf-8"?>
<formControlPr xmlns="http://schemas.microsoft.com/office/spreadsheetml/2009/9/main" objectType="Drop" dropLines="4" dropStyle="combo" dx="22" fmlaLink="$E$15" fmlaRange="'Blue- &amp; SmartSolar'!$M$12:$M$15" sel="4" val="0"/>
</file>

<file path=xl/ctrlProps/ctrlProp4.xml><?xml version="1.0" encoding="utf-8"?>
<formControlPr xmlns="http://schemas.microsoft.com/office/spreadsheetml/2009/9/main" objectType="Spin" dx="16" fmlaLink="$D$6" max="50" min="1" page="10" val="5"/>
</file>

<file path=xl/ctrlProps/ctrlProp5.xml><?xml version="1.0" encoding="utf-8"?>
<formControlPr xmlns="http://schemas.microsoft.com/office/spreadsheetml/2009/9/main" objectType="Spin" dx="16" fmlaLink="$H$6" max="50" min="1" page="10"/>
</file>

<file path=xl/ctrlProps/ctrlProp6.xml><?xml version="1.0" encoding="utf-8"?>
<formControlPr xmlns="http://schemas.microsoft.com/office/spreadsheetml/2009/9/main" objectType="Spin" dx="22" fmlaLink="$E$12" max="125" page="10" val="30"/>
</file>

<file path=xl/ctrlProps/ctrlProp7.xml><?xml version="1.0" encoding="utf-8"?>
<formControlPr xmlns="http://schemas.microsoft.com/office/spreadsheetml/2009/9/main" objectType="Spin" dx="22" fmlaLink="$H$12" max="100" page="10" val="70"/>
</file>

<file path=xl/ctrlProps/ctrlProp8.xml><?xml version="1.0" encoding="utf-8"?>
<formControlPr xmlns="http://schemas.microsoft.com/office/spreadsheetml/2009/9/main" objectType="Radio" firstButton="1" fmlaLink="$J$3" lockText="1"/>
</file>

<file path=xl/ctrlProps/ctrlProp9.xml><?xml version="1.0" encoding="utf-8"?>
<formControlPr xmlns="http://schemas.microsoft.com/office/spreadsheetml/2009/9/main" objectType="Radio" lockText="1"/>
</file>

<file path=xl/ctrlProps/ctrlProp10.xml><?xml version="1.0" encoding="utf-8"?>
<formControlPr xmlns="http://schemas.microsoft.com/office/spreadsheetml/2009/9/main" objectType="Radio" lockText="1"/>
</file>

<file path=xl/ctrlProps/ctrlProp11.xml><?xml version="1.0" encoding="utf-8"?>
<formControlPr xmlns="http://schemas.microsoft.com/office/spreadsheetml/2009/9/main" objectType="Radio" lockText="1"/>
</file>

<file path=xl/ctrlProps/ctrlProp12.xml><?xml version="1.0" encoding="utf-8"?>
<formControlPr xmlns="http://schemas.microsoft.com/office/spreadsheetml/2009/9/main" objectType="Radio" checked="Checked" lockText="1"/>
</file>

<file path=xl/ctrlProps/ctrlProp13.xml><?xml version="1.0" encoding="utf-8"?>
<formControlPr xmlns="http://schemas.microsoft.com/office/spreadsheetml/2009/9/main" objectType="Spin" dx="22" fmlaLink="$H$17" max="100" min="1" page="10" val="10"/>
</file>

<file path=xl/ctrlProps/ctrlProp14.xml><?xml version="1.0" encoding="utf-8"?>
<formControlPr xmlns="http://schemas.microsoft.com/office/spreadsheetml/2009/9/main" objectType="Spin" dx="22" fmlaLink="$J$17" max="7" min="1" page="10" val="3"/>
</file>

<file path=xl/ctrlProps/ctrlProp15.xml><?xml version="1.0" encoding="utf-8"?>
<formControlPr xmlns="http://schemas.microsoft.com/office/spreadsheetml/2009/9/main" objectType="CheckBox" fmlaLink="$M$33" lockText="1" noThreeD="1"/>
</file>

<file path=xl/ctrlProps/ctrlProp16.xml><?xml version="1.0" encoding="utf-8"?>
<formControlPr xmlns="http://schemas.microsoft.com/office/spreadsheetml/2009/9/main" objectType="Radio" lockText="1"/>
</file>

<file path=xl/ctrlProps/ctrlProp17.xml><?xml version="1.0" encoding="utf-8"?>
<formControlPr xmlns="http://schemas.microsoft.com/office/spreadsheetml/2009/9/main" objectType="Drop" dropLines="13" dropStyle="combo" dx="22" fmlaLink="$D$13" fmlaRange="Modules!$A$3:$A$34" sel="9" val="7"/>
</file>

<file path=xl/ctrlProps/ctrlProp18.xml><?xml version="1.0" encoding="utf-8"?>
<formControlPr xmlns="http://schemas.microsoft.com/office/spreadsheetml/2009/9/main" objectType="Spin" dx="16" fmlaLink="$D$16" max="50" min="1" page="10" val="8"/>
</file>

<file path=xl/ctrlProps/ctrlProp19.xml><?xml version="1.0" encoding="utf-8"?>
<formControlPr xmlns="http://schemas.microsoft.com/office/spreadsheetml/2009/9/main" objectType="Spin" dx="16" fmlaLink="$H$16" max="50" min="1" page="10" val="2"/>
</file>

<file path=xl/ctrlProps/ctrlProp20.xml><?xml version="1.0" encoding="utf-8"?>
<formControlPr xmlns="http://schemas.microsoft.com/office/spreadsheetml/2009/9/main" objectType="Radio" firstButton="1" fmlaLink="$J$3" lockText="1"/>
</file>

<file path=xl/ctrlProps/ctrlProp21.xml><?xml version="1.0" encoding="utf-8"?>
<formControlPr xmlns="http://schemas.microsoft.com/office/spreadsheetml/2009/9/main" objectType="Radio" lockText="1"/>
</file>

<file path=xl/ctrlProps/ctrlProp22.xml><?xml version="1.0" encoding="utf-8"?>
<formControlPr xmlns="http://schemas.microsoft.com/office/spreadsheetml/2009/9/main" objectType="Radio" lockText="1"/>
</file>

<file path=xl/ctrlProps/ctrlProp23.xml><?xml version="1.0" encoding="utf-8"?>
<formControlPr xmlns="http://schemas.microsoft.com/office/spreadsheetml/2009/9/main" objectType="Radio" lockText="1"/>
</file>

<file path=xl/ctrlProps/ctrlProp24.xml><?xml version="1.0" encoding="utf-8"?>
<formControlPr xmlns="http://schemas.microsoft.com/office/spreadsheetml/2009/9/main" objectType="Radio" checked="Checked" lockText="1"/>
</file>

<file path=xl/ctrlProps/ctrlProp25.xml><?xml version="1.0" encoding="utf-8"?>
<formControlPr xmlns="http://schemas.microsoft.com/office/spreadsheetml/2009/9/main" objectType="Spin" dx="22" fmlaLink="$H$17" max="100" min="1" page="10" val="10"/>
</file>

<file path=xl/ctrlProps/ctrlProp26.xml><?xml version="1.0" encoding="utf-8"?>
<formControlPr xmlns="http://schemas.microsoft.com/office/spreadsheetml/2009/9/main" objectType="Spin" dx="22" fmlaLink="$K$18" max="7" min="1" page="10" val="3"/>
</file>

<file path=xl/ctrlProps/ctrlProp27.xml><?xml version="1.0" encoding="utf-8"?>
<formControlPr xmlns="http://schemas.microsoft.com/office/spreadsheetml/2009/9/main" objectType="CheckBox" fmlaLink="$M$56" lockText="1" noThreeD="1"/>
</file>

<file path=xl/ctrlProps/ctrlProp28.xml><?xml version="1.0" encoding="utf-8"?>
<formControlPr xmlns="http://schemas.microsoft.com/office/spreadsheetml/2009/9/main" objectType="Radio" lockText="1"/>
</file>

<file path=xl/ctrlProps/ctrlProp29.xml><?xml version="1.0" encoding="utf-8"?>
<formControlPr xmlns="http://schemas.microsoft.com/office/spreadsheetml/2009/9/main" objectType="Drop" dropStyle="combo" dx="22" fmlaLink="$D$4" fmlaRange="Regulator!$C$20" sel="1" val="0"/>
</file>

<file path=xl/ctrlProps/ctrlProp30.xml><?xml version="1.0" encoding="utf-8"?>
<formControlPr xmlns="http://schemas.microsoft.com/office/spreadsheetml/2009/9/main" objectType="Spin" dx="22" fmlaLink="$E$9" max="100" page="10" val="30"/>
</file>

<file path=xl/ctrlProps/ctrlProp31.xml><?xml version="1.0" encoding="utf-8"?>
<formControlPr xmlns="http://schemas.microsoft.com/office/spreadsheetml/2009/9/main" objectType="Spin" dx="22" fmlaLink="$H$9" max="100" page="10" val="70"/>
</file>

<file path=xl/ctrlProps/ctrlProp32.xml><?xml version="1.0" encoding="utf-8"?>
<formControlPr xmlns="http://schemas.microsoft.com/office/spreadsheetml/2009/9/main" objectType="Spin" dx="22" fmlaLink="$H$7" inc="5" max="5625" min="4800" page="10" val="5400"/>
</file>

<file path=xl/ctrlProps/ctrlProp33.xml><?xml version="1.0" encoding="utf-8"?>
<formControlPr xmlns="http://schemas.microsoft.com/office/spreadsheetml/2009/9/main" objectType="Drop" dropLines="13" dropStyle="combo" dx="22" fmlaLink="$D$30" fmlaRange="Modules!$A$3:$A$34" sel="9" val="0"/>
</file>

<file path=xl/ctrlProps/ctrlProp34.xml><?xml version="1.0" encoding="utf-8"?>
<formControlPr xmlns="http://schemas.microsoft.com/office/spreadsheetml/2009/9/main" objectType="Spin" dx="16" fmlaLink="$D$33" max="50" min="1" page="10" val="8"/>
</file>

<file path=xl/ctrlProps/ctrlProp35.xml><?xml version="1.0" encoding="utf-8"?>
<formControlPr xmlns="http://schemas.microsoft.com/office/spreadsheetml/2009/9/main" objectType="Spin" dx="16" fmlaLink="$H$33" max="50" min="1" page="10"/>
</file>

<file path=xl/ctrlProps/ctrlProp36.xml><?xml version="1.0" encoding="utf-8"?>
<formControlPr xmlns="http://schemas.microsoft.com/office/spreadsheetml/2009/9/main" objectType="Spin" dx="22" fmlaLink="$H$34" max="100" min="1" page="10" val="10"/>
</file>

<file path=xl/ctrlProps/ctrlProp37.xml><?xml version="1.0" encoding="utf-8"?>
<formControlPr xmlns="http://schemas.microsoft.com/office/spreadsheetml/2009/9/main" objectType="Spin" dx="22" fmlaLink="$K$35" max="7" min="1" page="10" val="3"/>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chart" Target="../charts/chart2.xml"/><Relationship Id="rId7" Type="http://schemas.openxmlformats.org/officeDocument/2006/relationships/image" Target="../media/image7.jpeg"/><Relationship Id="rId2" Type="http://schemas.openxmlformats.org/officeDocument/2006/relationships/chart" Target="../charts/chart1.xml"/><Relationship Id="rId1" Type="http://schemas.openxmlformats.org/officeDocument/2006/relationships/image" Target="../media/image3.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 Id="rId9" Type="http://schemas.openxmlformats.org/officeDocument/2006/relationships/image" Target="../media/image9.png"/></Relationships>
</file>

<file path=xl/drawings/_rels/drawing2.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chart" Target="../charts/chart4.xml"/><Relationship Id="rId7" Type="http://schemas.openxmlformats.org/officeDocument/2006/relationships/image" Target="../media/image7.jpeg"/><Relationship Id="rId2" Type="http://schemas.openxmlformats.org/officeDocument/2006/relationships/chart" Target="../charts/chart3.xml"/><Relationship Id="rId1" Type="http://schemas.openxmlformats.org/officeDocument/2006/relationships/image" Target="../media/image3.jpeg"/><Relationship Id="rId6" Type="http://schemas.openxmlformats.org/officeDocument/2006/relationships/image" Target="../media/image6.jpeg"/><Relationship Id="rId5" Type="http://schemas.openxmlformats.org/officeDocument/2006/relationships/image" Target="../media/image5.jpeg"/><Relationship Id="rId10" Type="http://schemas.openxmlformats.org/officeDocument/2006/relationships/chart" Target="../charts/chart5.xml"/><Relationship Id="rId4" Type="http://schemas.openxmlformats.org/officeDocument/2006/relationships/image" Target="../media/image4.jpeg"/><Relationship Id="rId9" Type="http://schemas.openxmlformats.org/officeDocument/2006/relationships/image" Target="../media/image9.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2</xdr:col>
      <xdr:colOff>62902</xdr:colOff>
      <xdr:row>1</xdr:row>
      <xdr:rowOff>161745</xdr:rowOff>
    </xdr:to>
    <xdr:pic>
      <xdr:nvPicPr>
        <xdr:cNvPr id="1053" name="Picture 1" descr="logo kleur.jpg">
          <a:extLst>
            <a:ext uri="{FF2B5EF4-FFF2-40B4-BE49-F238E27FC236}">
              <a16:creationId xmlns:a16="http://schemas.microsoft.com/office/drawing/2014/main" id="{00000000-0008-0000-0000-00001D040000}"/>
            </a:ext>
          </a:extLst>
        </xdr:cNvPr>
        <xdr:cNvPicPr>
          <a:picLocks noChangeAspect="1"/>
        </xdr:cNvPicPr>
      </xdr:nvPicPr>
      <xdr:blipFill rotWithShape="1">
        <a:blip xmlns:r="http://schemas.openxmlformats.org/officeDocument/2006/relationships" r:embed="rId1" cstate="print">
          <a:clrChange>
            <a:clrFrom>
              <a:srgbClr val="FFFFFE"/>
            </a:clrFrom>
            <a:clrTo>
              <a:srgbClr val="FFFFFE">
                <a:alpha val="0"/>
              </a:srgbClr>
            </a:clrTo>
          </a:clrChange>
          <a:extLst>
            <a:ext uri="{28A0092B-C50C-407E-A947-70E740481C1C}">
              <a14:useLocalDpi xmlns:a14="http://schemas.microsoft.com/office/drawing/2010/main" val="0"/>
            </a:ext>
          </a:extLst>
        </a:blip>
        <a:srcRect r="6457" b="4617"/>
        <a:stretch/>
      </xdr:blipFill>
      <xdr:spPr bwMode="auto">
        <a:xfrm>
          <a:off x="1" y="0"/>
          <a:ext cx="1572524" cy="3504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12</xdr:col>
      <xdr:colOff>86804</xdr:colOff>
      <xdr:row>1</xdr:row>
      <xdr:rowOff>0</xdr:rowOff>
    </xdr:from>
    <xdr:to>
      <xdr:col>19</xdr:col>
      <xdr:colOff>596790</xdr:colOff>
      <xdr:row>26</xdr:row>
      <xdr:rowOff>19050</xdr:rowOff>
    </xdr:to>
    <xdr:graphicFrame macro="">
      <xdr:nvGraphicFramePr>
        <xdr:cNvPr id="1054" name="Chart 9">
          <a:extLst>
            <a:ext uri="{FF2B5EF4-FFF2-40B4-BE49-F238E27FC236}">
              <a16:creationId xmlns:a16="http://schemas.microsoft.com/office/drawing/2014/main" id="{00000000-0008-0000-0000-00001E04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absolute">
    <xdr:from>
      <xdr:col>20</xdr:col>
      <xdr:colOff>96730</xdr:colOff>
      <xdr:row>1</xdr:row>
      <xdr:rowOff>0</xdr:rowOff>
    </xdr:from>
    <xdr:to>
      <xdr:col>28</xdr:col>
      <xdr:colOff>14728</xdr:colOff>
      <xdr:row>26</xdr:row>
      <xdr:rowOff>19050</xdr:rowOff>
    </xdr:to>
    <xdr:graphicFrame macro="">
      <xdr:nvGraphicFramePr>
        <xdr:cNvPr id="1055" name="Chart 10">
          <a:extLst>
            <a:ext uri="{FF2B5EF4-FFF2-40B4-BE49-F238E27FC236}">
              <a16:creationId xmlns:a16="http://schemas.microsoft.com/office/drawing/2014/main" id="{00000000-0008-0000-0000-00001F04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9</xdr:col>
      <xdr:colOff>803513</xdr:colOff>
      <xdr:row>0</xdr:row>
      <xdr:rowOff>34647</xdr:rowOff>
    </xdr:from>
    <xdr:to>
      <xdr:col>10</xdr:col>
      <xdr:colOff>181213</xdr:colOff>
      <xdr:row>1</xdr:row>
      <xdr:rowOff>15919</xdr:rowOff>
    </xdr:to>
    <xdr:pic>
      <xdr:nvPicPr>
        <xdr:cNvPr id="5" name="Picture 4" descr="ENG.jpg">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cstate="print"/>
        <a:stretch>
          <a:fillRect/>
        </a:stretch>
      </xdr:blipFill>
      <xdr:spPr>
        <a:xfrm>
          <a:off x="5825786" y="34647"/>
          <a:ext cx="177799" cy="171106"/>
        </a:xfrm>
        <a:prstGeom prst="rect">
          <a:avLst/>
        </a:prstGeom>
      </xdr:spPr>
    </xdr:pic>
    <xdr:clientData/>
  </xdr:twoCellAnchor>
  <xdr:twoCellAnchor editAs="oneCell">
    <xdr:from>
      <xdr:col>9</xdr:col>
      <xdr:colOff>297928</xdr:colOff>
      <xdr:row>0</xdr:row>
      <xdr:rowOff>35688</xdr:rowOff>
    </xdr:from>
    <xdr:to>
      <xdr:col>9</xdr:col>
      <xdr:colOff>478240</xdr:colOff>
      <xdr:row>1</xdr:row>
      <xdr:rowOff>18503</xdr:rowOff>
    </xdr:to>
    <xdr:pic>
      <xdr:nvPicPr>
        <xdr:cNvPr id="6" name="Picture 5" descr="NL.jpg">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cstate="print"/>
        <a:stretch>
          <a:fillRect/>
        </a:stretch>
      </xdr:blipFill>
      <xdr:spPr>
        <a:xfrm>
          <a:off x="5394719" y="35688"/>
          <a:ext cx="180312" cy="175147"/>
        </a:xfrm>
        <a:prstGeom prst="rect">
          <a:avLst/>
        </a:prstGeom>
      </xdr:spPr>
    </xdr:pic>
    <xdr:clientData/>
  </xdr:twoCellAnchor>
  <xdr:twoCellAnchor editAs="oneCell">
    <xdr:from>
      <xdr:col>8</xdr:col>
      <xdr:colOff>277515</xdr:colOff>
      <xdr:row>0</xdr:row>
      <xdr:rowOff>35688</xdr:rowOff>
    </xdr:from>
    <xdr:to>
      <xdr:col>9</xdr:col>
      <xdr:colOff>172572</xdr:colOff>
      <xdr:row>1</xdr:row>
      <xdr:rowOff>18503</xdr:rowOff>
    </xdr:to>
    <xdr:pic>
      <xdr:nvPicPr>
        <xdr:cNvPr id="7" name="Picture 6" descr="ES.jpg">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cstate="print"/>
        <a:stretch>
          <a:fillRect/>
        </a:stretch>
      </xdr:blipFill>
      <xdr:spPr>
        <a:xfrm>
          <a:off x="5090388" y="35688"/>
          <a:ext cx="178975" cy="175147"/>
        </a:xfrm>
        <a:prstGeom prst="rect">
          <a:avLst/>
        </a:prstGeom>
      </xdr:spPr>
    </xdr:pic>
    <xdr:clientData/>
  </xdr:twoCellAnchor>
  <xdr:twoCellAnchor editAs="oneCell">
    <xdr:from>
      <xdr:col>7</xdr:col>
      <xdr:colOff>360135</xdr:colOff>
      <xdr:row>0</xdr:row>
      <xdr:rowOff>35688</xdr:rowOff>
    </xdr:from>
    <xdr:to>
      <xdr:col>8</xdr:col>
      <xdr:colOff>169632</xdr:colOff>
      <xdr:row>1</xdr:row>
      <xdr:rowOff>18503</xdr:rowOff>
    </xdr:to>
    <xdr:pic>
      <xdr:nvPicPr>
        <xdr:cNvPr id="8" name="Picture 7" descr="DE.jpg">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cstate="print"/>
        <a:stretch>
          <a:fillRect/>
        </a:stretch>
      </xdr:blipFill>
      <xdr:spPr>
        <a:xfrm>
          <a:off x="4811241" y="35688"/>
          <a:ext cx="171264" cy="175147"/>
        </a:xfrm>
        <a:prstGeom prst="rect">
          <a:avLst/>
        </a:prstGeom>
      </xdr:spPr>
    </xdr:pic>
    <xdr:clientData/>
  </xdr:twoCellAnchor>
  <xdr:twoCellAnchor editAs="oneCell">
    <xdr:from>
      <xdr:col>7</xdr:col>
      <xdr:colOff>71945</xdr:colOff>
      <xdr:row>0</xdr:row>
      <xdr:rowOff>32427</xdr:rowOff>
    </xdr:from>
    <xdr:to>
      <xdr:col>7</xdr:col>
      <xdr:colOff>251013</xdr:colOff>
      <xdr:row>1</xdr:row>
      <xdr:rowOff>15242</xdr:rowOff>
    </xdr:to>
    <xdr:pic>
      <xdr:nvPicPr>
        <xdr:cNvPr id="9" name="Picture 8" descr="FR.jpg">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cstate="print"/>
        <a:stretch>
          <a:fillRect/>
        </a:stretch>
      </xdr:blipFill>
      <xdr:spPr>
        <a:xfrm>
          <a:off x="4519940" y="32427"/>
          <a:ext cx="179068" cy="17151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2</xdr:col>
          <xdr:colOff>161925</xdr:colOff>
          <xdr:row>3</xdr:row>
          <xdr:rowOff>0</xdr:rowOff>
        </xdr:from>
        <xdr:to>
          <xdr:col>9</xdr:col>
          <xdr:colOff>485775</xdr:colOff>
          <xdr:row>3</xdr:row>
          <xdr:rowOff>190500</xdr:rowOff>
        </xdr:to>
        <xdr:sp macro="" textlink="">
          <xdr:nvSpPr>
            <xdr:cNvPr id="1028" name="Drop Down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152400</xdr:colOff>
          <xdr:row>12</xdr:row>
          <xdr:rowOff>19050</xdr:rowOff>
        </xdr:from>
        <xdr:to>
          <xdr:col>9</xdr:col>
          <xdr:colOff>476250</xdr:colOff>
          <xdr:row>13</xdr:row>
          <xdr:rowOff>9525</xdr:rowOff>
        </xdr:to>
        <xdr:sp macro="" textlink="">
          <xdr:nvSpPr>
            <xdr:cNvPr id="1029" name="Drop Down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13</xdr:row>
          <xdr:rowOff>171450</xdr:rowOff>
        </xdr:from>
        <xdr:to>
          <xdr:col>5</xdr:col>
          <xdr:colOff>190500</xdr:colOff>
          <xdr:row>15</xdr:row>
          <xdr:rowOff>9525</xdr:rowOff>
        </xdr:to>
        <xdr:sp macro="" textlink="">
          <xdr:nvSpPr>
            <xdr:cNvPr id="1030" name="Drop Down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4</xdr:col>
          <xdr:colOff>76200</xdr:colOff>
          <xdr:row>4</xdr:row>
          <xdr:rowOff>180975</xdr:rowOff>
        </xdr:from>
        <xdr:to>
          <xdr:col>5</xdr:col>
          <xdr:colOff>0</xdr:colOff>
          <xdr:row>6</xdr:row>
          <xdr:rowOff>9525</xdr:rowOff>
        </xdr:to>
        <xdr:sp macro="" textlink="">
          <xdr:nvSpPr>
            <xdr:cNvPr id="1032" name="Spinner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9</xdr:col>
          <xdr:colOff>85725</xdr:colOff>
          <xdr:row>4</xdr:row>
          <xdr:rowOff>180975</xdr:rowOff>
        </xdr:from>
        <xdr:to>
          <xdr:col>9</xdr:col>
          <xdr:colOff>381000</xdr:colOff>
          <xdr:row>6</xdr:row>
          <xdr:rowOff>9525</xdr:rowOff>
        </xdr:to>
        <xdr:sp macro="" textlink="">
          <xdr:nvSpPr>
            <xdr:cNvPr id="1033" name="Spinner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85725</xdr:colOff>
          <xdr:row>9</xdr:row>
          <xdr:rowOff>190500</xdr:rowOff>
        </xdr:from>
        <xdr:to>
          <xdr:col>6</xdr:col>
          <xdr:colOff>381000</xdr:colOff>
          <xdr:row>11</xdr:row>
          <xdr:rowOff>9525</xdr:rowOff>
        </xdr:to>
        <xdr:sp macro="" textlink="">
          <xdr:nvSpPr>
            <xdr:cNvPr id="1035" name="Spinner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85725</xdr:colOff>
          <xdr:row>9</xdr:row>
          <xdr:rowOff>190500</xdr:rowOff>
        </xdr:from>
        <xdr:to>
          <xdr:col>9</xdr:col>
          <xdr:colOff>381000</xdr:colOff>
          <xdr:row>11</xdr:row>
          <xdr:rowOff>9525</xdr:rowOff>
        </xdr:to>
        <xdr:sp macro="" textlink="">
          <xdr:nvSpPr>
            <xdr:cNvPr id="1037" name="Spinner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57150</xdr:colOff>
          <xdr:row>0</xdr:row>
          <xdr:rowOff>180975</xdr:rowOff>
        </xdr:from>
        <xdr:to>
          <xdr:col>7</xdr:col>
          <xdr:colOff>352425</xdr:colOff>
          <xdr:row>2</xdr:row>
          <xdr:rowOff>19050</xdr:rowOff>
        </xdr:to>
        <xdr:sp macro="" textlink="">
          <xdr:nvSpPr>
            <xdr:cNvPr id="1038" name="Option Button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352425</xdr:colOff>
          <xdr:row>0</xdr:row>
          <xdr:rowOff>180975</xdr:rowOff>
        </xdr:from>
        <xdr:to>
          <xdr:col>9</xdr:col>
          <xdr:colOff>0</xdr:colOff>
          <xdr:row>2</xdr:row>
          <xdr:rowOff>19050</xdr:rowOff>
        </xdr:to>
        <xdr:sp macro="" textlink="">
          <xdr:nvSpPr>
            <xdr:cNvPr id="1039" name="Option Button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266700</xdr:colOff>
          <xdr:row>0</xdr:row>
          <xdr:rowOff>180975</xdr:rowOff>
        </xdr:from>
        <xdr:to>
          <xdr:col>9</xdr:col>
          <xdr:colOff>295275</xdr:colOff>
          <xdr:row>2</xdr:row>
          <xdr:rowOff>19050</xdr:rowOff>
        </xdr:to>
        <xdr:sp macro="" textlink="">
          <xdr:nvSpPr>
            <xdr:cNvPr id="1040" name="Option Button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285750</xdr:colOff>
          <xdr:row>0</xdr:row>
          <xdr:rowOff>180975</xdr:rowOff>
        </xdr:from>
        <xdr:to>
          <xdr:col>10</xdr:col>
          <xdr:colOff>19050</xdr:colOff>
          <xdr:row>2</xdr:row>
          <xdr:rowOff>19050</xdr:rowOff>
        </xdr:to>
        <xdr:sp macro="" textlink="">
          <xdr:nvSpPr>
            <xdr:cNvPr id="1041" name="Option Button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561975</xdr:colOff>
          <xdr:row>0</xdr:row>
          <xdr:rowOff>180975</xdr:rowOff>
        </xdr:from>
        <xdr:to>
          <xdr:col>11</xdr:col>
          <xdr:colOff>9525</xdr:colOff>
          <xdr:row>2</xdr:row>
          <xdr:rowOff>19050</xdr:rowOff>
        </xdr:to>
        <xdr:sp macro="" textlink="">
          <xdr:nvSpPr>
            <xdr:cNvPr id="1042" name="Option Button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47625</xdr:colOff>
          <xdr:row>16</xdr:row>
          <xdr:rowOff>9525</xdr:rowOff>
        </xdr:from>
        <xdr:to>
          <xdr:col>9</xdr:col>
          <xdr:colOff>371475</xdr:colOff>
          <xdr:row>17</xdr:row>
          <xdr:rowOff>0</xdr:rowOff>
        </xdr:to>
        <xdr:sp macro="" textlink="">
          <xdr:nvSpPr>
            <xdr:cNvPr id="1043" name="Spinner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38100</xdr:colOff>
          <xdr:row>17</xdr:row>
          <xdr:rowOff>19050</xdr:rowOff>
        </xdr:from>
        <xdr:to>
          <xdr:col>9</xdr:col>
          <xdr:colOff>381000</xdr:colOff>
          <xdr:row>18</xdr:row>
          <xdr:rowOff>0</xdr:rowOff>
        </xdr:to>
        <xdr:sp macro="" textlink="">
          <xdr:nvSpPr>
            <xdr:cNvPr id="1044" name="Spinner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371475</xdr:colOff>
          <xdr:row>31</xdr:row>
          <xdr:rowOff>171450</xdr:rowOff>
        </xdr:from>
        <xdr:to>
          <xdr:col>9</xdr:col>
          <xdr:colOff>19050</xdr:colOff>
          <xdr:row>33</xdr:row>
          <xdr:rowOff>9525</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152400</xdr:colOff>
          <xdr:row>10</xdr:row>
          <xdr:rowOff>28575</xdr:rowOff>
        </xdr:from>
        <xdr:to>
          <xdr:col>2</xdr:col>
          <xdr:colOff>276225</xdr:colOff>
          <xdr:row>10</xdr:row>
          <xdr:rowOff>142875</xdr:rowOff>
        </xdr:to>
        <xdr:sp macro="" textlink="">
          <xdr:nvSpPr>
            <xdr:cNvPr id="1050" name="CheckBox1"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152400</xdr:colOff>
          <xdr:row>11</xdr:row>
          <xdr:rowOff>38100</xdr:rowOff>
        </xdr:from>
        <xdr:to>
          <xdr:col>2</xdr:col>
          <xdr:colOff>276225</xdr:colOff>
          <xdr:row>11</xdr:row>
          <xdr:rowOff>152400</xdr:rowOff>
        </xdr:to>
        <xdr:sp macro="" textlink="">
          <xdr:nvSpPr>
            <xdr:cNvPr id="1052" name="CheckBox2"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1095375</xdr:colOff>
          <xdr:row>0</xdr:row>
          <xdr:rowOff>180975</xdr:rowOff>
        </xdr:from>
        <xdr:to>
          <xdr:col>7</xdr:col>
          <xdr:colOff>123825</xdr:colOff>
          <xdr:row>2</xdr:row>
          <xdr:rowOff>19050</xdr:rowOff>
        </xdr:to>
        <xdr:sp macro="" textlink="">
          <xdr:nvSpPr>
            <xdr:cNvPr id="2" name="Option Button 29" hidden="1">
              <a:extLst>
                <a:ext uri="{63B3BB69-23CF-44E3-9099-C40C66FF867C}">
                  <a14:compatExt spid="_x0000_s1053"/>
                </a:ext>
                <a:ext uri="{FF2B5EF4-FFF2-40B4-BE49-F238E27FC236}">
                  <a16:creationId xmlns:a16="http://schemas.microsoft.com/office/drawing/2014/main" id="{00000000-0008-0000-0000-000002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6</xdr:col>
      <xdr:colOff>1105659</xdr:colOff>
      <xdr:row>0</xdr:row>
      <xdr:rowOff>31945</xdr:rowOff>
    </xdr:from>
    <xdr:to>
      <xdr:col>7</xdr:col>
      <xdr:colOff>21042</xdr:colOff>
      <xdr:row>1</xdr:row>
      <xdr:rowOff>17423</xdr:rowOff>
    </xdr:to>
    <xdr:pic>
      <xdr:nvPicPr>
        <xdr:cNvPr id="4" name="Picture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4241720" y="31945"/>
          <a:ext cx="182388" cy="17418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2</xdr:col>
      <xdr:colOff>62902</xdr:colOff>
      <xdr:row>1</xdr:row>
      <xdr:rowOff>161745</xdr:rowOff>
    </xdr:to>
    <xdr:pic>
      <xdr:nvPicPr>
        <xdr:cNvPr id="2" name="Picture 1" descr="logo kleur.jpg">
          <a:extLst>
            <a:ext uri="{FF2B5EF4-FFF2-40B4-BE49-F238E27FC236}">
              <a16:creationId xmlns:a16="http://schemas.microsoft.com/office/drawing/2014/main" id="{00000000-0008-0000-0100-000002000000}"/>
            </a:ext>
          </a:extLst>
        </xdr:cNvPr>
        <xdr:cNvPicPr>
          <a:picLocks noChangeAspect="1"/>
        </xdr:cNvPicPr>
      </xdr:nvPicPr>
      <xdr:blipFill rotWithShape="1">
        <a:blip xmlns:r="http://schemas.openxmlformats.org/officeDocument/2006/relationships" r:embed="rId1" cstate="print">
          <a:clrChange>
            <a:clrFrom>
              <a:srgbClr val="FFFFFE"/>
            </a:clrFrom>
            <a:clrTo>
              <a:srgbClr val="FFFFFE">
                <a:alpha val="0"/>
              </a:srgbClr>
            </a:clrTo>
          </a:clrChange>
          <a:extLst>
            <a:ext uri="{28A0092B-C50C-407E-A947-70E740481C1C}">
              <a14:useLocalDpi xmlns:a14="http://schemas.microsoft.com/office/drawing/2010/main" val="0"/>
            </a:ext>
          </a:extLst>
        </a:blip>
        <a:srcRect r="6457" b="4617"/>
        <a:stretch/>
      </xdr:blipFill>
      <xdr:spPr bwMode="auto">
        <a:xfrm>
          <a:off x="1" y="0"/>
          <a:ext cx="1567851" cy="3522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19</xdr:col>
      <xdr:colOff>554069</xdr:colOff>
      <xdr:row>1</xdr:row>
      <xdr:rowOff>35943</xdr:rowOff>
    </xdr:from>
    <xdr:to>
      <xdr:col>27</xdr:col>
      <xdr:colOff>453017</xdr:colOff>
      <xdr:row>26</xdr:row>
      <xdr:rowOff>54993</xdr:rowOff>
    </xdr:to>
    <xdr:graphicFrame macro="">
      <xdr:nvGraphicFramePr>
        <xdr:cNvPr id="3" name="Chart 9">
          <a:extLst>
            <a:ext uri="{FF2B5EF4-FFF2-40B4-BE49-F238E27FC236}">
              <a16:creationId xmlns:a16="http://schemas.microsoft.com/office/drawing/2014/main" id="{00000000-0008-0000-0100-000003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absolute">
    <xdr:from>
      <xdr:col>27</xdr:col>
      <xdr:colOff>563995</xdr:colOff>
      <xdr:row>1</xdr:row>
      <xdr:rowOff>35943</xdr:rowOff>
    </xdr:from>
    <xdr:to>
      <xdr:col>35</xdr:col>
      <xdr:colOff>481992</xdr:colOff>
      <xdr:row>26</xdr:row>
      <xdr:rowOff>54993</xdr:rowOff>
    </xdr:to>
    <xdr:graphicFrame macro="">
      <xdr:nvGraphicFramePr>
        <xdr:cNvPr id="4" name="Chart 10">
          <a:extLst>
            <a:ext uri="{FF2B5EF4-FFF2-40B4-BE49-F238E27FC236}">
              <a16:creationId xmlns:a16="http://schemas.microsoft.com/office/drawing/2014/main" id="{00000000-0008-0000-0100-000004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9</xdr:col>
      <xdr:colOff>803513</xdr:colOff>
      <xdr:row>0</xdr:row>
      <xdr:rowOff>34647</xdr:rowOff>
    </xdr:from>
    <xdr:to>
      <xdr:col>10</xdr:col>
      <xdr:colOff>181212</xdr:colOff>
      <xdr:row>1</xdr:row>
      <xdr:rowOff>15919</xdr:rowOff>
    </xdr:to>
    <xdr:pic>
      <xdr:nvPicPr>
        <xdr:cNvPr id="5" name="Picture 4" descr="ENG.jpg">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4" cstate="print"/>
        <a:stretch>
          <a:fillRect/>
        </a:stretch>
      </xdr:blipFill>
      <xdr:spPr>
        <a:xfrm>
          <a:off x="5651738" y="34647"/>
          <a:ext cx="177800" cy="171772"/>
        </a:xfrm>
        <a:prstGeom prst="rect">
          <a:avLst/>
        </a:prstGeom>
      </xdr:spPr>
    </xdr:pic>
    <xdr:clientData/>
  </xdr:twoCellAnchor>
  <xdr:twoCellAnchor editAs="oneCell">
    <xdr:from>
      <xdr:col>9</xdr:col>
      <xdr:colOff>297928</xdr:colOff>
      <xdr:row>0</xdr:row>
      <xdr:rowOff>35688</xdr:rowOff>
    </xdr:from>
    <xdr:to>
      <xdr:col>9</xdr:col>
      <xdr:colOff>478240</xdr:colOff>
      <xdr:row>1</xdr:row>
      <xdr:rowOff>18503</xdr:rowOff>
    </xdr:to>
    <xdr:pic>
      <xdr:nvPicPr>
        <xdr:cNvPr id="6" name="Picture 5" descr="NL.jpg">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5" cstate="print"/>
        <a:stretch>
          <a:fillRect/>
        </a:stretch>
      </xdr:blipFill>
      <xdr:spPr>
        <a:xfrm>
          <a:off x="5374753" y="35688"/>
          <a:ext cx="180312" cy="173315"/>
        </a:xfrm>
        <a:prstGeom prst="rect">
          <a:avLst/>
        </a:prstGeom>
      </xdr:spPr>
    </xdr:pic>
    <xdr:clientData/>
  </xdr:twoCellAnchor>
  <xdr:twoCellAnchor editAs="oneCell">
    <xdr:from>
      <xdr:col>8</xdr:col>
      <xdr:colOff>277515</xdr:colOff>
      <xdr:row>0</xdr:row>
      <xdr:rowOff>35688</xdr:rowOff>
    </xdr:from>
    <xdr:to>
      <xdr:col>9</xdr:col>
      <xdr:colOff>172572</xdr:colOff>
      <xdr:row>1</xdr:row>
      <xdr:rowOff>18503</xdr:rowOff>
    </xdr:to>
    <xdr:pic>
      <xdr:nvPicPr>
        <xdr:cNvPr id="7" name="Picture 6" descr="ES.jpg">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6" cstate="print"/>
        <a:stretch>
          <a:fillRect/>
        </a:stretch>
      </xdr:blipFill>
      <xdr:spPr>
        <a:xfrm>
          <a:off x="5068590" y="35688"/>
          <a:ext cx="180807" cy="173315"/>
        </a:xfrm>
        <a:prstGeom prst="rect">
          <a:avLst/>
        </a:prstGeom>
      </xdr:spPr>
    </xdr:pic>
    <xdr:clientData/>
  </xdr:twoCellAnchor>
  <xdr:twoCellAnchor editAs="oneCell">
    <xdr:from>
      <xdr:col>7</xdr:col>
      <xdr:colOff>360135</xdr:colOff>
      <xdr:row>0</xdr:row>
      <xdr:rowOff>35688</xdr:rowOff>
    </xdr:from>
    <xdr:to>
      <xdr:col>8</xdr:col>
      <xdr:colOff>169632</xdr:colOff>
      <xdr:row>1</xdr:row>
      <xdr:rowOff>18503</xdr:rowOff>
    </xdr:to>
    <xdr:pic>
      <xdr:nvPicPr>
        <xdr:cNvPr id="8" name="Picture 7" descr="DE.jpg">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7" cstate="print"/>
        <a:stretch>
          <a:fillRect/>
        </a:stretch>
      </xdr:blipFill>
      <xdr:spPr>
        <a:xfrm>
          <a:off x="4789260" y="35688"/>
          <a:ext cx="171447" cy="173315"/>
        </a:xfrm>
        <a:prstGeom prst="rect">
          <a:avLst/>
        </a:prstGeom>
      </xdr:spPr>
    </xdr:pic>
    <xdr:clientData/>
  </xdr:twoCellAnchor>
  <xdr:twoCellAnchor editAs="oneCell">
    <xdr:from>
      <xdr:col>7</xdr:col>
      <xdr:colOff>71945</xdr:colOff>
      <xdr:row>0</xdr:row>
      <xdr:rowOff>32427</xdr:rowOff>
    </xdr:from>
    <xdr:to>
      <xdr:col>7</xdr:col>
      <xdr:colOff>251013</xdr:colOff>
      <xdr:row>1</xdr:row>
      <xdr:rowOff>15242</xdr:rowOff>
    </xdr:to>
    <xdr:pic>
      <xdr:nvPicPr>
        <xdr:cNvPr id="9" name="Picture 8" descr="FR.jpg">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8" cstate="print"/>
        <a:stretch>
          <a:fillRect/>
        </a:stretch>
      </xdr:blipFill>
      <xdr:spPr>
        <a:xfrm>
          <a:off x="4501070" y="32427"/>
          <a:ext cx="179068" cy="17331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2</xdr:col>
          <xdr:colOff>133350</xdr:colOff>
          <xdr:row>12</xdr:row>
          <xdr:rowOff>0</xdr:rowOff>
        </xdr:from>
        <xdr:to>
          <xdr:col>9</xdr:col>
          <xdr:colOff>361950</xdr:colOff>
          <xdr:row>12</xdr:row>
          <xdr:rowOff>190500</xdr:rowOff>
        </xdr:to>
        <xdr:sp macro="" textlink="">
          <xdr:nvSpPr>
            <xdr:cNvPr id="2049" name="Drop Down 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4</xdr:col>
          <xdr:colOff>76200</xdr:colOff>
          <xdr:row>13</xdr:row>
          <xdr:rowOff>180975</xdr:rowOff>
        </xdr:from>
        <xdr:to>
          <xdr:col>4</xdr:col>
          <xdr:colOff>361950</xdr:colOff>
          <xdr:row>15</xdr:row>
          <xdr:rowOff>9525</xdr:rowOff>
        </xdr:to>
        <xdr:sp macro="" textlink="">
          <xdr:nvSpPr>
            <xdr:cNvPr id="2052" name="Spinner 4"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9</xdr:col>
          <xdr:colOff>76200</xdr:colOff>
          <xdr:row>13</xdr:row>
          <xdr:rowOff>180975</xdr:rowOff>
        </xdr:from>
        <xdr:to>
          <xdr:col>9</xdr:col>
          <xdr:colOff>371475</xdr:colOff>
          <xdr:row>15</xdr:row>
          <xdr:rowOff>9525</xdr:rowOff>
        </xdr:to>
        <xdr:sp macro="" textlink="">
          <xdr:nvSpPr>
            <xdr:cNvPr id="2053" name="Spinner 5" hidden="1">
              <a:extLst>
                <a:ext uri="{63B3BB69-23CF-44E3-9099-C40C66FF867C}">
                  <a14:compatExt spid="_x0000_s2053"/>
                </a:ext>
                <a:ext uri="{FF2B5EF4-FFF2-40B4-BE49-F238E27FC236}">
                  <a16:creationId xmlns:a16="http://schemas.microsoft.com/office/drawing/2014/main" id="{00000000-0008-0000-0100-0000050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76200</xdr:colOff>
          <xdr:row>0</xdr:row>
          <xdr:rowOff>180975</xdr:rowOff>
        </xdr:from>
        <xdr:to>
          <xdr:col>8</xdr:col>
          <xdr:colOff>9525</xdr:colOff>
          <xdr:row>2</xdr:row>
          <xdr:rowOff>19050</xdr:rowOff>
        </xdr:to>
        <xdr:sp macro="" textlink="">
          <xdr:nvSpPr>
            <xdr:cNvPr id="2056" name="Option Button 8" hidden="1">
              <a:extLst>
                <a:ext uri="{63B3BB69-23CF-44E3-9099-C40C66FF867C}">
                  <a14:compatExt spid="_x0000_s2056"/>
                </a:ext>
                <a:ext uri="{FF2B5EF4-FFF2-40B4-BE49-F238E27FC236}">
                  <a16:creationId xmlns:a16="http://schemas.microsoft.com/office/drawing/2014/main" id="{00000000-0008-0000-01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352425</xdr:colOff>
          <xdr:row>0</xdr:row>
          <xdr:rowOff>180975</xdr:rowOff>
        </xdr:from>
        <xdr:to>
          <xdr:col>9</xdr:col>
          <xdr:colOff>0</xdr:colOff>
          <xdr:row>2</xdr:row>
          <xdr:rowOff>19050</xdr:rowOff>
        </xdr:to>
        <xdr:sp macro="" textlink="">
          <xdr:nvSpPr>
            <xdr:cNvPr id="2057" name="Option Button 9" hidden="1">
              <a:extLst>
                <a:ext uri="{63B3BB69-23CF-44E3-9099-C40C66FF867C}">
                  <a14:compatExt spid="_x0000_s2057"/>
                </a:ext>
                <a:ext uri="{FF2B5EF4-FFF2-40B4-BE49-F238E27FC236}">
                  <a16:creationId xmlns:a16="http://schemas.microsoft.com/office/drawing/2014/main" id="{00000000-0008-0000-01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266700</xdr:colOff>
          <xdr:row>0</xdr:row>
          <xdr:rowOff>180975</xdr:rowOff>
        </xdr:from>
        <xdr:to>
          <xdr:col>9</xdr:col>
          <xdr:colOff>295275</xdr:colOff>
          <xdr:row>2</xdr:row>
          <xdr:rowOff>19050</xdr:rowOff>
        </xdr:to>
        <xdr:sp macro="" textlink="">
          <xdr:nvSpPr>
            <xdr:cNvPr id="2058" name="Option Button 10" hidden="1">
              <a:extLst>
                <a:ext uri="{63B3BB69-23CF-44E3-9099-C40C66FF867C}">
                  <a14:compatExt spid="_x0000_s2058"/>
                </a:ext>
                <a:ext uri="{FF2B5EF4-FFF2-40B4-BE49-F238E27FC236}">
                  <a16:creationId xmlns:a16="http://schemas.microsoft.com/office/drawing/2014/main" id="{00000000-0008-0000-01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285750</xdr:colOff>
          <xdr:row>0</xdr:row>
          <xdr:rowOff>180975</xdr:rowOff>
        </xdr:from>
        <xdr:to>
          <xdr:col>10</xdr:col>
          <xdr:colOff>19050</xdr:colOff>
          <xdr:row>2</xdr:row>
          <xdr:rowOff>19050</xdr:rowOff>
        </xdr:to>
        <xdr:sp macro="" textlink="">
          <xdr:nvSpPr>
            <xdr:cNvPr id="2059" name="Option Button 11" hidden="1">
              <a:extLst>
                <a:ext uri="{63B3BB69-23CF-44E3-9099-C40C66FF867C}">
                  <a14:compatExt spid="_x0000_s2059"/>
                </a:ext>
                <a:ext uri="{FF2B5EF4-FFF2-40B4-BE49-F238E27FC236}">
                  <a16:creationId xmlns:a16="http://schemas.microsoft.com/office/drawing/2014/main" id="{00000000-0008-0000-01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561975</xdr:colOff>
          <xdr:row>0</xdr:row>
          <xdr:rowOff>180975</xdr:rowOff>
        </xdr:from>
        <xdr:to>
          <xdr:col>11</xdr:col>
          <xdr:colOff>9525</xdr:colOff>
          <xdr:row>2</xdr:row>
          <xdr:rowOff>19050</xdr:rowOff>
        </xdr:to>
        <xdr:sp macro="" textlink="">
          <xdr:nvSpPr>
            <xdr:cNvPr id="2060" name="Option Button 12" hidden="1">
              <a:extLst>
                <a:ext uri="{63B3BB69-23CF-44E3-9099-C40C66FF867C}">
                  <a14:compatExt spid="_x0000_s2060"/>
                </a:ext>
                <a:ext uri="{FF2B5EF4-FFF2-40B4-BE49-F238E27FC236}">
                  <a16:creationId xmlns:a16="http://schemas.microsoft.com/office/drawing/2014/main" id="{00000000-0008-0000-01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85725</xdr:colOff>
          <xdr:row>16</xdr:row>
          <xdr:rowOff>9525</xdr:rowOff>
        </xdr:from>
        <xdr:to>
          <xdr:col>9</xdr:col>
          <xdr:colOff>409575</xdr:colOff>
          <xdr:row>17</xdr:row>
          <xdr:rowOff>0</xdr:rowOff>
        </xdr:to>
        <xdr:sp macro="" textlink="">
          <xdr:nvSpPr>
            <xdr:cNvPr id="2061" name="Spinner 13" hidden="1">
              <a:extLst>
                <a:ext uri="{63B3BB69-23CF-44E3-9099-C40C66FF867C}">
                  <a14:compatExt spid="_x0000_s2061"/>
                </a:ext>
                <a:ext uri="{FF2B5EF4-FFF2-40B4-BE49-F238E27FC236}">
                  <a16:creationId xmlns:a16="http://schemas.microsoft.com/office/drawing/2014/main" id="{00000000-0008-0000-0100-00000D0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95250</xdr:colOff>
          <xdr:row>17</xdr:row>
          <xdr:rowOff>28575</xdr:rowOff>
        </xdr:from>
        <xdr:to>
          <xdr:col>9</xdr:col>
          <xdr:colOff>400050</xdr:colOff>
          <xdr:row>18</xdr:row>
          <xdr:rowOff>19050</xdr:rowOff>
        </xdr:to>
        <xdr:sp macro="" textlink="">
          <xdr:nvSpPr>
            <xdr:cNvPr id="2062" name="Spinner 14" hidden="1">
              <a:extLst>
                <a:ext uri="{63B3BB69-23CF-44E3-9099-C40C66FF867C}">
                  <a14:compatExt spid="_x0000_s2062"/>
                </a:ext>
                <a:ext uri="{FF2B5EF4-FFF2-40B4-BE49-F238E27FC236}">
                  <a16:creationId xmlns:a16="http://schemas.microsoft.com/office/drawing/2014/main" id="{00000000-0008-0000-0100-00000E0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371475</xdr:colOff>
          <xdr:row>54</xdr:row>
          <xdr:rowOff>171450</xdr:rowOff>
        </xdr:from>
        <xdr:to>
          <xdr:col>9</xdr:col>
          <xdr:colOff>19050</xdr:colOff>
          <xdr:row>56</xdr:row>
          <xdr:rowOff>9525</xdr:rowOff>
        </xdr:to>
        <xdr:sp macro="" textlink="">
          <xdr:nvSpPr>
            <xdr:cNvPr id="2063" name="Check Box 15" hidden="1">
              <a:extLst>
                <a:ext uri="{63B3BB69-23CF-44E3-9099-C40C66FF867C}">
                  <a14:compatExt spid="_x0000_s2063"/>
                </a:ext>
                <a:ext uri="{FF2B5EF4-FFF2-40B4-BE49-F238E27FC236}">
                  <a16:creationId xmlns:a16="http://schemas.microsoft.com/office/drawing/2014/main" id="{00000000-0008-0000-0100-00000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66675</xdr:colOff>
          <xdr:row>7</xdr:row>
          <xdr:rowOff>38100</xdr:rowOff>
        </xdr:from>
        <xdr:to>
          <xdr:col>2</xdr:col>
          <xdr:colOff>190500</xdr:colOff>
          <xdr:row>7</xdr:row>
          <xdr:rowOff>152400</xdr:rowOff>
        </xdr:to>
        <xdr:sp macro="" textlink="">
          <xdr:nvSpPr>
            <xdr:cNvPr id="2064" name="CheckBox1" hidden="1">
              <a:extLst>
                <a:ext uri="{63B3BB69-23CF-44E3-9099-C40C66FF867C}">
                  <a14:compatExt spid="_x0000_s2064"/>
                </a:ext>
                <a:ext uri="{FF2B5EF4-FFF2-40B4-BE49-F238E27FC236}">
                  <a16:creationId xmlns:a16="http://schemas.microsoft.com/office/drawing/2014/main" id="{00000000-0008-0000-0100-00001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57150</xdr:colOff>
          <xdr:row>8</xdr:row>
          <xdr:rowOff>28575</xdr:rowOff>
        </xdr:from>
        <xdr:to>
          <xdr:col>2</xdr:col>
          <xdr:colOff>180975</xdr:colOff>
          <xdr:row>8</xdr:row>
          <xdr:rowOff>142875</xdr:rowOff>
        </xdr:to>
        <xdr:sp macro="" textlink="">
          <xdr:nvSpPr>
            <xdr:cNvPr id="2065" name="CheckBox2" hidden="1">
              <a:extLst>
                <a:ext uri="{63B3BB69-23CF-44E3-9099-C40C66FF867C}">
                  <a14:compatExt spid="_x0000_s2065"/>
                </a:ext>
                <a:ext uri="{FF2B5EF4-FFF2-40B4-BE49-F238E27FC236}">
                  <a16:creationId xmlns:a16="http://schemas.microsoft.com/office/drawing/2014/main" id="{00000000-0008-0000-0100-00001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1095375</xdr:colOff>
          <xdr:row>0</xdr:row>
          <xdr:rowOff>180975</xdr:rowOff>
        </xdr:from>
        <xdr:to>
          <xdr:col>7</xdr:col>
          <xdr:colOff>123825</xdr:colOff>
          <xdr:row>2</xdr:row>
          <xdr:rowOff>19050</xdr:rowOff>
        </xdr:to>
        <xdr:sp macro="" textlink="">
          <xdr:nvSpPr>
            <xdr:cNvPr id="2066" name="Option Button 18" hidden="1">
              <a:extLst>
                <a:ext uri="{63B3BB69-23CF-44E3-9099-C40C66FF867C}">
                  <a14:compatExt spid="_x0000_s2066"/>
                </a:ext>
                <a:ext uri="{FF2B5EF4-FFF2-40B4-BE49-F238E27FC236}">
                  <a16:creationId xmlns:a16="http://schemas.microsoft.com/office/drawing/2014/main" id="{00000000-0008-0000-0100-00001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6</xdr:col>
      <xdr:colOff>1105659</xdr:colOff>
      <xdr:row>0</xdr:row>
      <xdr:rowOff>31945</xdr:rowOff>
    </xdr:from>
    <xdr:to>
      <xdr:col>7</xdr:col>
      <xdr:colOff>21042</xdr:colOff>
      <xdr:row>1</xdr:row>
      <xdr:rowOff>17423</xdr:rowOff>
    </xdr:to>
    <xdr:pic>
      <xdr:nvPicPr>
        <xdr:cNvPr id="28" name="Picture 27">
          <a:extLst>
            <a:ext uri="{FF2B5EF4-FFF2-40B4-BE49-F238E27FC236}">
              <a16:creationId xmlns:a16="http://schemas.microsoft.com/office/drawing/2014/main" id="{00000000-0008-0000-0100-00001C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4267959" y="31945"/>
          <a:ext cx="182208" cy="17597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2</xdr:col>
          <xdr:colOff>9525</xdr:colOff>
          <xdr:row>3</xdr:row>
          <xdr:rowOff>9525</xdr:rowOff>
        </xdr:from>
        <xdr:to>
          <xdr:col>9</xdr:col>
          <xdr:colOff>381000</xdr:colOff>
          <xdr:row>4</xdr:row>
          <xdr:rowOff>0</xdr:rowOff>
        </xdr:to>
        <xdr:sp macro="" textlink="">
          <xdr:nvSpPr>
            <xdr:cNvPr id="2067" name="Drop Down 19" hidden="1">
              <a:extLst>
                <a:ext uri="{63B3BB69-23CF-44E3-9099-C40C66FF867C}">
                  <a14:compatExt spid="_x0000_s2067"/>
                </a:ext>
                <a:ext uri="{FF2B5EF4-FFF2-40B4-BE49-F238E27FC236}">
                  <a16:creationId xmlns:a16="http://schemas.microsoft.com/office/drawing/2014/main" id="{00000000-0008-0000-0100-00001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85725</xdr:colOff>
          <xdr:row>6</xdr:row>
          <xdr:rowOff>190500</xdr:rowOff>
        </xdr:from>
        <xdr:to>
          <xdr:col>6</xdr:col>
          <xdr:colOff>381000</xdr:colOff>
          <xdr:row>8</xdr:row>
          <xdr:rowOff>9525</xdr:rowOff>
        </xdr:to>
        <xdr:sp macro="" textlink="">
          <xdr:nvSpPr>
            <xdr:cNvPr id="2068" name="Spinner 20" hidden="1">
              <a:extLst>
                <a:ext uri="{63B3BB69-23CF-44E3-9099-C40C66FF867C}">
                  <a14:compatExt spid="_x0000_s2068"/>
                </a:ext>
                <a:ext uri="{FF2B5EF4-FFF2-40B4-BE49-F238E27FC236}">
                  <a16:creationId xmlns:a16="http://schemas.microsoft.com/office/drawing/2014/main" id="{00000000-0008-0000-0100-0000140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85725</xdr:colOff>
          <xdr:row>6</xdr:row>
          <xdr:rowOff>190500</xdr:rowOff>
        </xdr:from>
        <xdr:to>
          <xdr:col>9</xdr:col>
          <xdr:colOff>381000</xdr:colOff>
          <xdr:row>8</xdr:row>
          <xdr:rowOff>9525</xdr:rowOff>
        </xdr:to>
        <xdr:sp macro="" textlink="">
          <xdr:nvSpPr>
            <xdr:cNvPr id="2069" name="Spinner 21" hidden="1">
              <a:extLst>
                <a:ext uri="{63B3BB69-23CF-44E3-9099-C40C66FF867C}">
                  <a14:compatExt spid="_x0000_s2069"/>
                </a:ext>
                <a:ext uri="{FF2B5EF4-FFF2-40B4-BE49-F238E27FC236}">
                  <a16:creationId xmlns:a16="http://schemas.microsoft.com/office/drawing/2014/main" id="{00000000-0008-0000-0100-0000150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editAs="absolute">
    <xdr:from>
      <xdr:col>11</xdr:col>
      <xdr:colOff>35944</xdr:colOff>
      <xdr:row>1</xdr:row>
      <xdr:rowOff>35943</xdr:rowOff>
    </xdr:from>
    <xdr:to>
      <xdr:col>19</xdr:col>
      <xdr:colOff>456072</xdr:colOff>
      <xdr:row>26</xdr:row>
      <xdr:rowOff>54993</xdr:rowOff>
    </xdr:to>
    <xdr:graphicFrame macro="">
      <xdr:nvGraphicFramePr>
        <xdr:cNvPr id="29" name="Chart 9">
          <a:extLst>
            <a:ext uri="{FF2B5EF4-FFF2-40B4-BE49-F238E27FC236}">
              <a16:creationId xmlns:a16="http://schemas.microsoft.com/office/drawing/2014/main" id="{00000000-0008-0000-0100-00001D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mc:AlternateContent xmlns:mc="http://schemas.openxmlformats.org/markup-compatibility/2006">
    <mc:Choice xmlns:a14="http://schemas.microsoft.com/office/drawing/2010/main" Requires="a14">
      <xdr:twoCellAnchor>
        <xdr:from>
          <xdr:col>9</xdr:col>
          <xdr:colOff>85725</xdr:colOff>
          <xdr:row>5</xdr:row>
          <xdr:rowOff>0</xdr:rowOff>
        </xdr:from>
        <xdr:to>
          <xdr:col>9</xdr:col>
          <xdr:colOff>381000</xdr:colOff>
          <xdr:row>6</xdr:row>
          <xdr:rowOff>9525</xdr:rowOff>
        </xdr:to>
        <xdr:sp macro="" textlink="">
          <xdr:nvSpPr>
            <xdr:cNvPr id="2070" name="Spinner 22" hidden="1">
              <a:extLst>
                <a:ext uri="{63B3BB69-23CF-44E3-9099-C40C66FF867C}">
                  <a14:compatExt spid="_x0000_s2070"/>
                </a:ext>
                <a:ext uri="{FF2B5EF4-FFF2-40B4-BE49-F238E27FC236}">
                  <a16:creationId xmlns:a16="http://schemas.microsoft.com/office/drawing/2014/main" id="{00000000-0008-0000-0100-000016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47625</xdr:colOff>
          <xdr:row>29</xdr:row>
          <xdr:rowOff>0</xdr:rowOff>
        </xdr:from>
        <xdr:to>
          <xdr:col>9</xdr:col>
          <xdr:colOff>276225</xdr:colOff>
          <xdr:row>30</xdr:row>
          <xdr:rowOff>0</xdr:rowOff>
        </xdr:to>
        <xdr:sp macro="" textlink="">
          <xdr:nvSpPr>
            <xdr:cNvPr id="2071" name="Drop Down 23" hidden="1">
              <a:extLst>
                <a:ext uri="{63B3BB69-23CF-44E3-9099-C40C66FF867C}">
                  <a14:compatExt spid="_x0000_s2071"/>
                </a:ext>
                <a:ext uri="{FF2B5EF4-FFF2-40B4-BE49-F238E27FC236}">
                  <a16:creationId xmlns:a16="http://schemas.microsoft.com/office/drawing/2014/main" id="{00000000-0008-0000-0100-00001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4</xdr:col>
          <xdr:colOff>57150</xdr:colOff>
          <xdr:row>31</xdr:row>
          <xdr:rowOff>0</xdr:rowOff>
        </xdr:from>
        <xdr:to>
          <xdr:col>4</xdr:col>
          <xdr:colOff>342900</xdr:colOff>
          <xdr:row>32</xdr:row>
          <xdr:rowOff>19050</xdr:rowOff>
        </xdr:to>
        <xdr:sp macro="" textlink="">
          <xdr:nvSpPr>
            <xdr:cNvPr id="2072" name="Spinner 24" hidden="1">
              <a:extLst>
                <a:ext uri="{63B3BB69-23CF-44E3-9099-C40C66FF867C}">
                  <a14:compatExt spid="_x0000_s2072"/>
                </a:ext>
                <a:ext uri="{FF2B5EF4-FFF2-40B4-BE49-F238E27FC236}">
                  <a16:creationId xmlns:a16="http://schemas.microsoft.com/office/drawing/2014/main" id="{00000000-0008-0000-0100-0000180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9</xdr:col>
          <xdr:colOff>57150</xdr:colOff>
          <xdr:row>30</xdr:row>
          <xdr:rowOff>180975</xdr:rowOff>
        </xdr:from>
        <xdr:to>
          <xdr:col>9</xdr:col>
          <xdr:colOff>352425</xdr:colOff>
          <xdr:row>32</xdr:row>
          <xdr:rowOff>9525</xdr:rowOff>
        </xdr:to>
        <xdr:sp macro="" textlink="">
          <xdr:nvSpPr>
            <xdr:cNvPr id="2073" name="Spinner 25" hidden="1">
              <a:extLst>
                <a:ext uri="{63B3BB69-23CF-44E3-9099-C40C66FF867C}">
                  <a14:compatExt spid="_x0000_s2073"/>
                </a:ext>
                <a:ext uri="{FF2B5EF4-FFF2-40B4-BE49-F238E27FC236}">
                  <a16:creationId xmlns:a16="http://schemas.microsoft.com/office/drawing/2014/main" id="{00000000-0008-0000-0100-0000190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66675</xdr:colOff>
          <xdr:row>33</xdr:row>
          <xdr:rowOff>9525</xdr:rowOff>
        </xdr:from>
        <xdr:to>
          <xdr:col>9</xdr:col>
          <xdr:colOff>361950</xdr:colOff>
          <xdr:row>34</xdr:row>
          <xdr:rowOff>0</xdr:rowOff>
        </xdr:to>
        <xdr:sp macro="" textlink="">
          <xdr:nvSpPr>
            <xdr:cNvPr id="2074" name="Spinner 26" hidden="1">
              <a:extLst>
                <a:ext uri="{63B3BB69-23CF-44E3-9099-C40C66FF867C}">
                  <a14:compatExt spid="_x0000_s2074"/>
                </a:ext>
                <a:ext uri="{FF2B5EF4-FFF2-40B4-BE49-F238E27FC236}">
                  <a16:creationId xmlns:a16="http://schemas.microsoft.com/office/drawing/2014/main" id="{00000000-0008-0000-0100-00001A0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57150</xdr:colOff>
          <xdr:row>34</xdr:row>
          <xdr:rowOff>28575</xdr:rowOff>
        </xdr:from>
        <xdr:to>
          <xdr:col>9</xdr:col>
          <xdr:colOff>361950</xdr:colOff>
          <xdr:row>35</xdr:row>
          <xdr:rowOff>19050</xdr:rowOff>
        </xdr:to>
        <xdr:sp macro="" textlink="">
          <xdr:nvSpPr>
            <xdr:cNvPr id="2075" name="Spinner 27" hidden="1">
              <a:extLst>
                <a:ext uri="{63B3BB69-23CF-44E3-9099-C40C66FF867C}">
                  <a14:compatExt spid="_x0000_s2075"/>
                </a:ext>
                <a:ext uri="{FF2B5EF4-FFF2-40B4-BE49-F238E27FC236}">
                  <a16:creationId xmlns:a16="http://schemas.microsoft.com/office/drawing/2014/main" id="{00000000-0008-0000-0100-00001B0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1.xml"/><Relationship Id="rId13" Type="http://schemas.openxmlformats.org/officeDocument/2006/relationships/ctrlProp" Target="../ctrlProps/ctrlProp6.xml"/><Relationship Id="rId18" Type="http://schemas.openxmlformats.org/officeDocument/2006/relationships/ctrlProp" Target="../ctrlProps/ctrlProp11.xml"/><Relationship Id="rId3" Type="http://schemas.openxmlformats.org/officeDocument/2006/relationships/vmlDrawing" Target="../drawings/vmlDrawing1.vml"/><Relationship Id="rId21" Type="http://schemas.openxmlformats.org/officeDocument/2006/relationships/ctrlProp" Target="../ctrlProps/ctrlProp14.xml"/><Relationship Id="rId7" Type="http://schemas.openxmlformats.org/officeDocument/2006/relationships/image" Target="../media/image2.emf"/><Relationship Id="rId12" Type="http://schemas.openxmlformats.org/officeDocument/2006/relationships/ctrlProp" Target="../ctrlProps/ctrlProp5.xml"/><Relationship Id="rId17" Type="http://schemas.openxmlformats.org/officeDocument/2006/relationships/ctrlProp" Target="../ctrlProps/ctrlProp10.xml"/><Relationship Id="rId2" Type="http://schemas.openxmlformats.org/officeDocument/2006/relationships/drawing" Target="../drawings/drawing1.xml"/><Relationship Id="rId16" Type="http://schemas.openxmlformats.org/officeDocument/2006/relationships/ctrlProp" Target="../ctrlProps/ctrlProp9.xml"/><Relationship Id="rId20" Type="http://schemas.openxmlformats.org/officeDocument/2006/relationships/ctrlProp" Target="../ctrlProps/ctrlProp13.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ctrlProp" Target="../ctrlProps/ctrlProp4.xml"/><Relationship Id="rId5" Type="http://schemas.openxmlformats.org/officeDocument/2006/relationships/image" Target="../media/image1.emf"/><Relationship Id="rId15" Type="http://schemas.openxmlformats.org/officeDocument/2006/relationships/ctrlProp" Target="../ctrlProps/ctrlProp8.xml"/><Relationship Id="rId23" Type="http://schemas.openxmlformats.org/officeDocument/2006/relationships/ctrlProp" Target="../ctrlProps/ctrlProp16.xml"/><Relationship Id="rId10" Type="http://schemas.openxmlformats.org/officeDocument/2006/relationships/ctrlProp" Target="../ctrlProps/ctrlProp3.xml"/><Relationship Id="rId19" Type="http://schemas.openxmlformats.org/officeDocument/2006/relationships/ctrlProp" Target="../ctrlProps/ctrlProp12.xml"/><Relationship Id="rId4" Type="http://schemas.openxmlformats.org/officeDocument/2006/relationships/control" Target="../activeX/activeX1.xml"/><Relationship Id="rId9" Type="http://schemas.openxmlformats.org/officeDocument/2006/relationships/ctrlProp" Target="../ctrlProps/ctrlProp2.xml"/><Relationship Id="rId14" Type="http://schemas.openxmlformats.org/officeDocument/2006/relationships/ctrlProp" Target="../ctrlProps/ctrlProp7.xml"/><Relationship Id="rId22" Type="http://schemas.openxmlformats.org/officeDocument/2006/relationships/ctrlProp" Target="../ctrlProps/ctrlProp15.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17.xml"/><Relationship Id="rId13" Type="http://schemas.openxmlformats.org/officeDocument/2006/relationships/ctrlProp" Target="../ctrlProps/ctrlProp22.xml"/><Relationship Id="rId18" Type="http://schemas.openxmlformats.org/officeDocument/2006/relationships/ctrlProp" Target="../ctrlProps/ctrlProp27.xml"/><Relationship Id="rId26" Type="http://schemas.openxmlformats.org/officeDocument/2006/relationships/ctrlProp" Target="../ctrlProps/ctrlProp35.xml"/><Relationship Id="rId3" Type="http://schemas.openxmlformats.org/officeDocument/2006/relationships/vmlDrawing" Target="../drawings/vmlDrawing2.vml"/><Relationship Id="rId21" Type="http://schemas.openxmlformats.org/officeDocument/2006/relationships/ctrlProp" Target="../ctrlProps/ctrlProp30.xml"/><Relationship Id="rId7" Type="http://schemas.openxmlformats.org/officeDocument/2006/relationships/image" Target="../media/image2.emf"/><Relationship Id="rId12" Type="http://schemas.openxmlformats.org/officeDocument/2006/relationships/ctrlProp" Target="../ctrlProps/ctrlProp21.xml"/><Relationship Id="rId17" Type="http://schemas.openxmlformats.org/officeDocument/2006/relationships/ctrlProp" Target="../ctrlProps/ctrlProp26.xml"/><Relationship Id="rId25" Type="http://schemas.openxmlformats.org/officeDocument/2006/relationships/ctrlProp" Target="../ctrlProps/ctrlProp34.xml"/><Relationship Id="rId2" Type="http://schemas.openxmlformats.org/officeDocument/2006/relationships/drawing" Target="../drawings/drawing2.xml"/><Relationship Id="rId16" Type="http://schemas.openxmlformats.org/officeDocument/2006/relationships/ctrlProp" Target="../ctrlProps/ctrlProp25.xml"/><Relationship Id="rId20" Type="http://schemas.openxmlformats.org/officeDocument/2006/relationships/ctrlProp" Target="../ctrlProps/ctrlProp29.xml"/><Relationship Id="rId1" Type="http://schemas.openxmlformats.org/officeDocument/2006/relationships/printerSettings" Target="../printerSettings/printerSettings2.bin"/><Relationship Id="rId6" Type="http://schemas.openxmlformats.org/officeDocument/2006/relationships/control" Target="../activeX/activeX4.xml"/><Relationship Id="rId11" Type="http://schemas.openxmlformats.org/officeDocument/2006/relationships/ctrlProp" Target="../ctrlProps/ctrlProp20.xml"/><Relationship Id="rId24" Type="http://schemas.openxmlformats.org/officeDocument/2006/relationships/ctrlProp" Target="../ctrlProps/ctrlProp33.xml"/><Relationship Id="rId5" Type="http://schemas.openxmlformats.org/officeDocument/2006/relationships/image" Target="../media/image1.emf"/><Relationship Id="rId15" Type="http://schemas.openxmlformats.org/officeDocument/2006/relationships/ctrlProp" Target="../ctrlProps/ctrlProp24.xml"/><Relationship Id="rId23" Type="http://schemas.openxmlformats.org/officeDocument/2006/relationships/ctrlProp" Target="../ctrlProps/ctrlProp32.xml"/><Relationship Id="rId28" Type="http://schemas.openxmlformats.org/officeDocument/2006/relationships/ctrlProp" Target="../ctrlProps/ctrlProp37.xml"/><Relationship Id="rId10" Type="http://schemas.openxmlformats.org/officeDocument/2006/relationships/ctrlProp" Target="../ctrlProps/ctrlProp19.xml"/><Relationship Id="rId19" Type="http://schemas.openxmlformats.org/officeDocument/2006/relationships/ctrlProp" Target="../ctrlProps/ctrlProp28.xml"/><Relationship Id="rId4" Type="http://schemas.openxmlformats.org/officeDocument/2006/relationships/control" Target="../activeX/activeX3.xml"/><Relationship Id="rId9" Type="http://schemas.openxmlformats.org/officeDocument/2006/relationships/ctrlProp" Target="../ctrlProps/ctrlProp18.xml"/><Relationship Id="rId14" Type="http://schemas.openxmlformats.org/officeDocument/2006/relationships/ctrlProp" Target="../ctrlProps/ctrlProp23.xml"/><Relationship Id="rId22" Type="http://schemas.openxmlformats.org/officeDocument/2006/relationships/ctrlProp" Target="../ctrlProps/ctrlProp31.xml"/><Relationship Id="rId27" Type="http://schemas.openxmlformats.org/officeDocument/2006/relationships/ctrlProp" Target="../ctrlProps/ctrlProp36.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F231"/>
  <sheetViews>
    <sheetView zoomScale="106" zoomScaleNormal="106" workbookViewId="0">
      <selection activeCell="P32" sqref="P32"/>
    </sheetView>
  </sheetViews>
  <sheetFormatPr defaultColWidth="9.140625" defaultRowHeight="15" x14ac:dyDescent="0.25"/>
  <cols>
    <col min="1" max="1" width="1.7109375" style="7" customWidth="1"/>
    <col min="2" max="2" width="20.85546875" style="7" customWidth="1"/>
    <col min="3" max="3" width="7.28515625" style="7" customWidth="1"/>
    <col min="4" max="4" width="8.85546875" style="7" customWidth="1"/>
    <col min="5" max="5" width="5.42578125" style="7" customWidth="1"/>
    <col min="6" max="6" width="3.28515625" style="7" customWidth="1"/>
    <col min="7" max="7" width="19" style="7" customWidth="1"/>
    <col min="8" max="8" width="5.42578125" style="7" customWidth="1"/>
    <col min="9" max="9" width="4.28515625" style="7" customWidth="1"/>
    <col min="10" max="10" width="8.5703125" style="7" customWidth="1"/>
    <col min="11" max="11" width="4.28515625" style="7" customWidth="1"/>
    <col min="12" max="12" width="1.28515625" style="43" customWidth="1"/>
    <col min="13" max="13" width="9.140625" style="43" customWidth="1"/>
    <col min="14" max="19" width="9.140625" style="43"/>
    <col min="20" max="20" width="9.140625" style="43" customWidth="1"/>
    <col min="21" max="58" width="9.140625" style="43"/>
    <col min="59" max="16384" width="9.140625" style="7"/>
  </cols>
  <sheetData>
    <row r="1" spans="1:21" ht="15" customHeight="1" x14ac:dyDescent="0.25">
      <c r="A1" s="139"/>
      <c r="B1" s="140"/>
      <c r="C1" s="212" t="s">
        <v>480</v>
      </c>
      <c r="D1" s="212"/>
      <c r="E1" s="212"/>
      <c r="F1" s="212"/>
      <c r="G1" s="212"/>
      <c r="H1" s="141"/>
      <c r="I1" s="141"/>
      <c r="J1" s="141"/>
      <c r="K1" s="142"/>
      <c r="M1" s="45" t="str">
        <f>IF(J3=6,INDEX(Language!B4:G41,29,6),IF(J3=5,INDEX(Language!B4:F35,29,1),IF(J3=4,INDEX(Language!B4:F35,29,2),IF(J3=3,INDEX(Language!B4:F35,29,3),IF(J3=2,INDEX(Language!B4:F35,29,4),INDEX(Language!B4:F35,29,5))))))</f>
        <v>Input voltage window string</v>
      </c>
      <c r="U1" s="45" t="str">
        <f>IF(J3=6,INDEX(Language!B4:G41,30,6),IF(J3=5,INDEX(Language!B4:F35,30,1),IF(J3=4,INDEX(Language!B4:F35,30,2),IF(J3=3,INDEX(Language!B4:F35,30,3),IF(J3=2,INDEX(Language!B4:F35,30,4),INDEX(Language!B4:F35,30,5))))))</f>
        <v>Charge current window</v>
      </c>
    </row>
    <row r="2" spans="1:21" ht="15" customHeight="1" x14ac:dyDescent="0.25">
      <c r="A2" s="143"/>
      <c r="B2" s="67"/>
      <c r="C2" s="213"/>
      <c r="D2" s="213"/>
      <c r="E2" s="213"/>
      <c r="F2" s="213"/>
      <c r="G2" s="213"/>
      <c r="H2" s="8"/>
      <c r="I2" s="8"/>
      <c r="J2" s="8"/>
      <c r="K2" s="144"/>
    </row>
    <row r="3" spans="1:21" x14ac:dyDescent="0.25">
      <c r="A3" s="145"/>
      <c r="B3" s="9"/>
      <c r="C3" s="9"/>
      <c r="D3" s="9"/>
      <c r="E3" s="9"/>
      <c r="F3" s="9"/>
      <c r="G3" s="9"/>
      <c r="H3" s="9"/>
      <c r="I3" s="9"/>
      <c r="J3" s="129">
        <v>5</v>
      </c>
      <c r="K3" s="146"/>
    </row>
    <row r="4" spans="1:21" ht="15.75" customHeight="1" x14ac:dyDescent="0.25">
      <c r="A4" s="145"/>
      <c r="B4" s="9" t="str">
        <f>IF(J3=6,INDEX(Language!B4:G35,1,6),IF(J3=5,INDEX(Language!B4:G35,1,1),IF(J3=4,INDEX(Language!B4:G35,1,2),IF(J3=3,INDEX(Language!B4:G35,1,3),IF(J3=2,INDEX(Language!B4:G35,1,4),INDEX(Language!B4:G35,1,5))))))</f>
        <v>Module:</v>
      </c>
      <c r="C4" s="9"/>
      <c r="D4" s="6">
        <v>10</v>
      </c>
      <c r="E4" s="9"/>
      <c r="F4" s="9"/>
      <c r="G4" s="9"/>
      <c r="H4" s="9"/>
      <c r="I4" s="9"/>
      <c r="J4" s="9"/>
      <c r="K4" s="147"/>
    </row>
    <row r="5" spans="1:21" ht="15" customHeight="1" x14ac:dyDescent="0.25">
      <c r="A5" s="145"/>
      <c r="B5" s="9"/>
      <c r="C5" s="9"/>
      <c r="D5" s="9"/>
      <c r="E5" s="9"/>
      <c r="F5" s="9"/>
      <c r="G5" s="9"/>
      <c r="H5" s="9"/>
      <c r="I5" s="9"/>
      <c r="J5" s="9"/>
      <c r="K5" s="147"/>
    </row>
    <row r="6" spans="1:21" x14ac:dyDescent="0.25">
      <c r="A6" s="145"/>
      <c r="B6" s="9" t="str">
        <f>IF(J3=6,INDEX(Language!B4:G35,2,6),IF(J3=5,INDEX(Language!B4:F35,2,1),IF(J3=4,INDEX(Language!B4:F35,2,2),IF(J3=3,INDEX(Language!B4:F35,2,3),IF(J3=2,INDEX(Language!B4:F35,2,4),INDEX(Language!B4:F35,2,5))))))</f>
        <v>In series:</v>
      </c>
      <c r="C6" s="9"/>
      <c r="D6" s="5">
        <v>5</v>
      </c>
      <c r="E6" s="9"/>
      <c r="F6" s="9"/>
      <c r="G6" s="10" t="str">
        <f>IF(J3=6,INDEX(Language!B4:G35,3,6),IF(J3=5,INDEX(Language!B4:F35,3,1),IF(J3=4,INDEX(Language!B4:F35,3,2),IF(J3=3,INDEX(Language!B4:F35,3,3),IF(J3=2,INDEX(Language!B4:F35,3,4),INDEX(Language!B4:F35,3,5))))))</f>
        <v>Parallel:</v>
      </c>
      <c r="H6" s="208">
        <v>1</v>
      </c>
      <c r="I6" s="209"/>
      <c r="J6" s="9"/>
      <c r="K6" s="147"/>
    </row>
    <row r="7" spans="1:21" ht="15" customHeight="1" x14ac:dyDescent="0.25">
      <c r="A7" s="145"/>
      <c r="B7" s="9"/>
      <c r="C7" s="9"/>
      <c r="D7" s="9"/>
      <c r="E7" s="9"/>
      <c r="F7" s="9"/>
      <c r="G7" s="9"/>
      <c r="H7" s="9"/>
      <c r="I7" s="9"/>
      <c r="J7" s="9"/>
      <c r="K7" s="147"/>
    </row>
    <row r="8" spans="1:21" x14ac:dyDescent="0.25">
      <c r="A8" s="145"/>
      <c r="B8" s="9" t="str">
        <f>IF(J3=6,INDEX(Language!B4:G35,4,6),IF(J3=5,INDEX(Language!B4:F35,4,1),IF(J3=4,INDEX(Language!B4:F35,4,2),IF(J3=3,INDEX(Language!B4:F35,4,3),IF(J3=2,INDEX(Language!B4:F35,4,4),INDEX(Language!B4:F35,4,5))))))</f>
        <v>Total PV power @STC:</v>
      </c>
      <c r="C8" s="9"/>
      <c r="D8" s="66">
        <f>D6*H6*INDEX(Modules!B3:J34,'Blue- &amp; SmartSolar'!D4,3)</f>
        <v>1525</v>
      </c>
      <c r="E8" s="9" t="str">
        <f>IF(J3=6,INDEX(Language!B4:G35,5,6),IF(J3=5,INDEX(Language!B4:F35,5,1),IF(J3=4,INDEX(Language!B4:F35,5,2),IF(J3=3,INDEX(Language!B4:F35,5,3),IF(J3=2,INDEX(Language!B4:F35,5,4),INDEX(Language!B4:F35,5,5))))))</f>
        <v>Wp</v>
      </c>
      <c r="F8" s="9"/>
      <c r="G8" s="9"/>
      <c r="H8" s="9"/>
      <c r="I8" s="9"/>
      <c r="J8" s="9"/>
      <c r="K8" s="147"/>
    </row>
    <row r="9" spans="1:21" ht="15" customHeight="1" x14ac:dyDescent="0.25">
      <c r="A9" s="145"/>
      <c r="B9" s="118" t="str">
        <f>IF(G24="N.A.","",IF('Calculation table'!C49&gt;1.3,IF(J3=6,INDEX(Language!B4:G51,39,6),IF(J3=5,INDEX(Language!B4:F42,39,1),IF(J3=4,INDEX(Language!B4:F42,39,2),IF(J3=3,INDEX(Language!B4:F42,39,3),IF(J3=2,INDEX(Language!B4:F42,39,4),INDEX(Language!B4:F42,39,5)))))),""))</f>
        <v/>
      </c>
      <c r="C9" s="9"/>
      <c r="D9" s="117"/>
      <c r="E9" s="122"/>
      <c r="F9" s="122"/>
      <c r="G9" s="9"/>
      <c r="H9" s="46"/>
      <c r="I9" s="46"/>
      <c r="J9" s="9"/>
      <c r="K9" s="147"/>
    </row>
    <row r="10" spans="1:21" ht="15" customHeight="1" x14ac:dyDescent="0.25">
      <c r="A10" s="145"/>
      <c r="B10" s="118" t="str">
        <f>IF(G25="N.A.","",IF('Calculation table'!E50=TRUE,IF(J3=6,INDEX(Language!B4:G52,49,6),IF(J3=5,INDEX(Language!B4:F52,49,1),IF(J3=4,INDEX(Language!B4:F52,49,2),IF(J3=3,INDEX(Language!B4:F52,49,3),IF(J3=2,INDEX(Language!B4:F52,49,4),INDEX(Language!B4:F52,49,5)))))),""))</f>
        <v/>
      </c>
      <c r="C10" s="9"/>
      <c r="D10" s="117"/>
      <c r="E10" s="122"/>
      <c r="F10" s="122"/>
      <c r="G10" s="9"/>
      <c r="H10" s="46"/>
      <c r="I10" s="46"/>
      <c r="J10" s="9"/>
      <c r="K10" s="147"/>
    </row>
    <row r="11" spans="1:21" x14ac:dyDescent="0.25">
      <c r="A11" s="145"/>
      <c r="B11" s="9" t="str">
        <f>IF(J3=6,INDEX(Language!B4:G35,6,6),IF(J3=5,INDEX(Language!B4:F35,6,1),IF(J3=4,INDEX(Language!B4:F35,6,2),IF(J3=3,INDEX(Language!B4:F35,6,3),IF(J3=2,INDEX(Language!B4:F35,6,4),INDEX(Language!B4:F35,6,5))))))</f>
        <v>Module temperature:</v>
      </c>
      <c r="C11" s="127" t="s">
        <v>392</v>
      </c>
      <c r="D11" s="10" t="str">
        <f>IF(J3=6,INDEX(Language!B4:G35,7,6),IF(J3=5,INDEX(Language!B4:F35,7,1),IF(J3=4,INDEX(Language!B4:F35,7,2),IF(J3=3,INDEX(Language!B4:F35,7,3),IF(J3=2,INDEX(Language!B4:F35,7,4),INDEX(Language!B4:F35,7,5))))))</f>
        <v>Min.</v>
      </c>
      <c r="E11" s="172">
        <f>IF(B12=1, F12, ((F12)*9/5)+32)</f>
        <v>-10</v>
      </c>
      <c r="F11" s="126" t="str">
        <f>IF(B12=1, "°C", "°F")</f>
        <v>°C</v>
      </c>
      <c r="G11" s="10" t="str">
        <f>IF(J3=6,INDEX(Language!B4:G35,8,6),IF(J3=5,INDEX(Language!B4:F35,8,1),IF(J3=4,INDEX(Language!B4:F35,8,2),IF(J3=3,INDEX(Language!B4:F35,8,3),IF(J3=2,INDEX(Language!B4:F35,8,4),INDEX(Language!B4:F35,8,5))))))</f>
        <v xml:space="preserve">Max. </v>
      </c>
      <c r="H11" s="172">
        <f>IF(B12=1, H12, (H12*9/5)+32)</f>
        <v>70</v>
      </c>
      <c r="I11" s="128" t="str">
        <f>IF(B12=1, "°C", "°F")</f>
        <v>°C</v>
      </c>
      <c r="J11" s="9"/>
      <c r="K11" s="147"/>
      <c r="N11" s="43">
        <v>2.5</v>
      </c>
    </row>
    <row r="12" spans="1:21" x14ac:dyDescent="0.25">
      <c r="A12" s="145"/>
      <c r="B12" s="129">
        <v>1</v>
      </c>
      <c r="C12" s="127" t="s">
        <v>393</v>
      </c>
      <c r="D12" s="9"/>
      <c r="E12" s="129">
        <v>30</v>
      </c>
      <c r="F12" s="131">
        <f>E12-40</f>
        <v>-10</v>
      </c>
      <c r="G12" s="9"/>
      <c r="H12" s="129">
        <v>70</v>
      </c>
      <c r="I12" s="9"/>
      <c r="J12" s="9"/>
      <c r="K12" s="147"/>
      <c r="M12" s="48">
        <f>INDEX(Regulator!K2:N17,'Blue- &amp; SmartSolar'!$D$13,1)</f>
        <v>12</v>
      </c>
      <c r="N12" s="43">
        <v>4</v>
      </c>
    </row>
    <row r="13" spans="1:21" x14ac:dyDescent="0.25">
      <c r="A13" s="145"/>
      <c r="B13" s="9" t="str">
        <f>IF(J3=6,INDEX(Language!B4:G35,9,6),IF(J3=5,INDEX(Language!B4:F35,9,1),IF(J3=4,INDEX(Language!B4:F35,9,2),IF(J3=3,INDEX(Language!B4:F35,9,3),IF(J3=2,INDEX(Language!B4:F35,9,4),INDEX(Language!B4:F35,9,5))))))</f>
        <v>Controller:</v>
      </c>
      <c r="C13" s="9"/>
      <c r="D13" s="6">
        <v>16</v>
      </c>
      <c r="E13" s="9"/>
      <c r="F13" s="9"/>
      <c r="G13" s="9"/>
      <c r="H13" s="9"/>
      <c r="I13" s="9"/>
      <c r="J13" s="9"/>
      <c r="K13" s="147"/>
      <c r="M13" s="48">
        <f>INDEX(Regulator!K2:N17,'Blue- &amp; SmartSolar'!$D$13,2)</f>
        <v>24</v>
      </c>
      <c r="N13" s="43">
        <v>6</v>
      </c>
    </row>
    <row r="14" spans="1:21" x14ac:dyDescent="0.25">
      <c r="A14" s="145"/>
      <c r="B14" s="9"/>
      <c r="C14" s="9"/>
      <c r="D14" s="9"/>
      <c r="E14" s="9"/>
      <c r="F14" s="9"/>
      <c r="G14" s="9"/>
      <c r="H14" s="9"/>
      <c r="I14" s="9"/>
      <c r="J14" s="9"/>
      <c r="K14" s="147"/>
      <c r="M14" s="48">
        <f>INDEX(Regulator!K2:N17,'Blue- &amp; SmartSolar'!$D$13,3)</f>
        <v>36</v>
      </c>
      <c r="N14" s="43">
        <v>10</v>
      </c>
    </row>
    <row r="15" spans="1:21" x14ac:dyDescent="0.25">
      <c r="A15" s="145"/>
      <c r="B15" s="9" t="str">
        <f>IF(J3=6,INDEX(Language!B4:G35,10,6),IF(J3=5,INDEX(Language!B4:F35,10,1),IF(J3=4,INDEX(Language!B4:F35,10,2),IF(J3=3,INDEX(Language!B4:F35,10,3),IF(J3=2,INDEX(Language!B4:F35,10,4),INDEX(Language!B4:F35,10,5))))))</f>
        <v>System voltage:</v>
      </c>
      <c r="C15" s="9"/>
      <c r="D15" s="9"/>
      <c r="E15" s="13">
        <v>4</v>
      </c>
      <c r="F15" s="13"/>
      <c r="G15" s="9" t="s">
        <v>18</v>
      </c>
      <c r="H15" s="9"/>
      <c r="I15" s="9"/>
      <c r="J15" s="9"/>
      <c r="K15" s="147"/>
      <c r="M15" s="48">
        <f>INDEX(Regulator!K2:N17,'Blue- &amp; SmartSolar'!$D$13,4)</f>
        <v>48</v>
      </c>
      <c r="N15" s="43">
        <v>16</v>
      </c>
    </row>
    <row r="16" spans="1:21" x14ac:dyDescent="0.25">
      <c r="A16" s="145"/>
      <c r="B16" s="9"/>
      <c r="C16" s="9"/>
      <c r="D16" s="9"/>
      <c r="E16" s="13"/>
      <c r="F16" s="13"/>
      <c r="G16" s="9"/>
      <c r="H16" s="9"/>
      <c r="I16" s="9"/>
      <c r="J16" s="9"/>
      <c r="K16" s="147"/>
      <c r="M16" s="48"/>
      <c r="N16" s="43">
        <v>25</v>
      </c>
    </row>
    <row r="17" spans="1:14" x14ac:dyDescent="0.25">
      <c r="A17" s="145"/>
      <c r="B17" s="170" t="str">
        <f>IF(J3=6,INDEX(Language!B4:G35,31,6),IF(J3=5,INDEX(Language!B4:F35,31,1),IF(J3=4,INDEX(Language!B4:F35,31,2),IF(J3=3,INDEX(Language!B4:F35,31,3),IF(J3=2,INDEX(Language!B4:F35,31,4),INDEX(Language!B4:F35,31,5))))))</f>
        <v>Cable length, Module to MPPT *</v>
      </c>
      <c r="C17" s="71"/>
      <c r="D17" s="9"/>
      <c r="E17" s="171"/>
      <c r="F17" s="171"/>
      <c r="G17" s="10"/>
      <c r="H17" s="206">
        <v>10</v>
      </c>
      <c r="I17" s="207"/>
      <c r="J17" s="130">
        <v>3</v>
      </c>
      <c r="K17" s="148"/>
      <c r="M17" s="48"/>
      <c r="N17" s="43">
        <v>35</v>
      </c>
    </row>
    <row r="18" spans="1:14" x14ac:dyDescent="0.25">
      <c r="A18" s="145"/>
      <c r="B18" s="71" t="str">
        <f>IF(J3=6,INDEX(Language!B4:G35,32,6),IF(J3=5,INDEX(Language!B4:F35,32,1),IF(J3=4,INDEX(Language!B4:F35,32,2),IF(J3=3,INDEX(Language!B4:F35,32,3),IF(J3=2,INDEX(Language!B4:F35,32,4),INDEX(Language!B4:F35,32,5))))))</f>
        <v>Cross-section:</v>
      </c>
      <c r="C18" s="71"/>
      <c r="D18" s="9"/>
      <c r="E18" s="214"/>
      <c r="F18" s="214"/>
      <c r="G18" s="10"/>
      <c r="H18" s="215">
        <f>INDEX(N11:N17,J17,1)</f>
        <v>6</v>
      </c>
      <c r="I18" s="216"/>
      <c r="J18" s="130"/>
      <c r="K18" s="148"/>
      <c r="M18" s="48"/>
    </row>
    <row r="19" spans="1:14" x14ac:dyDescent="0.25">
      <c r="A19" s="145"/>
      <c r="B19" s="169"/>
      <c r="C19" s="9"/>
      <c r="D19" s="9"/>
      <c r="E19" s="9"/>
      <c r="F19" s="9"/>
      <c r="G19" s="9"/>
      <c r="H19" s="9"/>
      <c r="I19" s="9"/>
      <c r="J19" s="9"/>
      <c r="K19" s="147"/>
    </row>
    <row r="20" spans="1:14" x14ac:dyDescent="0.25">
      <c r="A20" s="149"/>
      <c r="B20" s="11" t="str">
        <f>IF(J3=6,INDEX(Language!B4:G36,11,6),IF(J3=5,INDEX(Language!B4:F35,11,1),IF(J3=4,INDEX(Language!B4:F35,11,2),IF(J3=3,INDEX(Language!B4:F35,11,3),IF(J3=2,INDEX(Language!B4:F35,11,4),INDEX(Language!B4:F35,11,5))))))</f>
        <v>Max. input voltage</v>
      </c>
      <c r="C20" s="11"/>
      <c r="D20" s="11"/>
      <c r="E20" s="11"/>
      <c r="F20" s="11"/>
      <c r="G20" s="34">
        <f>INDEX(Regulator!$B$2:$H$17,'Blue- &amp; SmartSolar'!$D$13,7)</f>
        <v>250</v>
      </c>
      <c r="H20" s="11"/>
      <c r="I20" s="11"/>
      <c r="J20" s="11"/>
      <c r="K20" s="156"/>
    </row>
    <row r="21" spans="1:14" x14ac:dyDescent="0.25">
      <c r="A21" s="145"/>
      <c r="B21" s="9" t="str">
        <f>IF(J3=6,INDEX(Language!B4:G36,12,6),IF(J3=5,INDEX(Language!B4:F35,12,1),IF(J3=4,INDEX(Language!B4:F35,12,2),IF(J3=3,INDEX(Language!B4:F35,12,3),IF(J3=2,INDEX(Language!B4:F35,12,4),INDEX(Language!B4:F35,12,5))))))</f>
        <v>Max. PV voltage @ min. temperature</v>
      </c>
      <c r="C21" s="9"/>
      <c r="D21" s="9"/>
      <c r="E21" s="9"/>
      <c r="F21" s="9"/>
      <c r="G21" s="35">
        <f>'Calculation table'!F30</f>
        <v>222.81625</v>
      </c>
      <c r="H21" s="9"/>
      <c r="I21" s="9"/>
      <c r="J21" s="132"/>
      <c r="K21" s="150"/>
    </row>
    <row r="22" spans="1:14" x14ac:dyDescent="0.25">
      <c r="A22" s="145"/>
      <c r="B22" s="9" t="str">
        <f>IF(J3=6,INDEX(Language!B4:G36,13,6),IF(J3=5,INDEX(Language!B4:F35,13,1),IF(J3=4,INDEX(Language!B4:F35,13,2),IF(J3=3,INDEX(Language!B4:F35,13,3),IF(J3=2,INDEX(Language!B4:F35,13,4),INDEX(Language!B4:F35,13,5))))))</f>
        <v>Min. input voltage @ MPP</v>
      </c>
      <c r="C22" s="9"/>
      <c r="D22" s="9"/>
      <c r="E22" s="9"/>
      <c r="F22" s="9"/>
      <c r="G22" s="35">
        <f>'Calculation table'!C20</f>
        <v>49</v>
      </c>
      <c r="H22" s="9"/>
      <c r="I22" s="9"/>
      <c r="J22" s="132"/>
      <c r="K22" s="150"/>
    </row>
    <row r="23" spans="1:14" x14ac:dyDescent="0.25">
      <c r="A23" s="151"/>
      <c r="B23" s="12" t="str">
        <f>IF(J3=6,INDEX(Language!B4:G36,14,6),IF(J3=5,INDEX(Language!B4:F35,14,1),IF(J3=4,INDEX(Language!B4:F35,14,2),IF(J3=3,INDEX(Language!B4:F35,14,3),IF(J3=2,INDEX(Language!B4:F35,14,4),INDEX(Language!B4:F35,14,5))))))</f>
        <v>Min. PV voltage @ max. temperature</v>
      </c>
      <c r="C23" s="12"/>
      <c r="D23" s="12"/>
      <c r="E23" s="12"/>
      <c r="F23" s="12"/>
      <c r="G23" s="42">
        <f>'Calculation table'!K37</f>
        <v>130.66873497333336</v>
      </c>
      <c r="H23" s="12"/>
      <c r="I23" s="12"/>
      <c r="J23" s="12"/>
      <c r="K23" s="147"/>
    </row>
    <row r="24" spans="1:14" x14ac:dyDescent="0.25">
      <c r="A24" s="145"/>
      <c r="B24" s="9" t="str">
        <f>IF(J3=6,INDEX(Language!B4:G36,15,6),IF(J3=5,INDEX(Language!B4:F35,15,1),IF(J3=4,INDEX(Language!B4:F35,15,2),IF(J3=3,INDEX(Language!B4:F35,15,3),IF(J3=2,INDEX(Language!B4:F35,15,4),INDEX(Language!B4:F35,15,5))))))</f>
        <v>Max. output current</v>
      </c>
      <c r="C24" s="9"/>
      <c r="D24" s="9"/>
      <c r="E24" s="9"/>
      <c r="F24" s="9"/>
      <c r="G24" s="36">
        <f>INDEX(Regulator!B2:P17,'Blue- &amp; SmartSolar'!$D$13,15)</f>
        <v>100</v>
      </c>
      <c r="H24" s="9"/>
      <c r="I24" s="9"/>
      <c r="J24" s="9"/>
      <c r="K24" s="156"/>
    </row>
    <row r="25" spans="1:14" x14ac:dyDescent="0.25">
      <c r="A25" s="145"/>
      <c r="B25" s="9" t="str">
        <f>IF(J3=6,INDEX(Language!B4:G36,16,6),IF(J3=5,INDEX(Language!B4:F35,16,1),IF(J3=4,INDEX(Language!B4:F35,16,2),IF(J3=3,INDEX(Language!B4:F35,16,3),IF(J3=2,INDEX(Language!B4:F35,16,4),INDEX(Language!B4:F35,16,5))))))</f>
        <v>Max. current @ MPP min. temp.</v>
      </c>
      <c r="C25" s="9"/>
      <c r="D25" s="9"/>
      <c r="E25" s="9"/>
      <c r="F25" s="9"/>
      <c r="G25" s="37">
        <f>IF('Calculation table'!E20=0,"N.A.",'Calculation table'!F40)</f>
        <v>35.587942181859376</v>
      </c>
      <c r="H25" s="9"/>
      <c r="I25" s="9"/>
      <c r="J25" s="9"/>
      <c r="K25" s="147"/>
    </row>
    <row r="26" spans="1:14" x14ac:dyDescent="0.25">
      <c r="A26" s="145"/>
      <c r="B26" s="9"/>
      <c r="C26" s="9"/>
      <c r="D26" s="9"/>
      <c r="E26" s="9"/>
      <c r="F26" s="9"/>
      <c r="G26" s="9" t="str">
        <f>IF(G25="N.A.","",IF('Calculation table'!F40=G24,IF(J3=6,INDEX(Language!B4:G36,27,6),IF(J3=5,INDEX(Language!B4:F35,27,1),IF(J3=4,INDEX(Language!B4:F35,27,2),IF(J3=3,INDEX(Language!B4:F35,27,3),IF(J3=2,INDEX(Language!B4:F35,27,4),INDEX(Language!B4:F35,27,5)))))),""))</f>
        <v/>
      </c>
      <c r="H26" s="9"/>
      <c r="I26" s="9"/>
      <c r="J26" s="9"/>
      <c r="K26" s="147"/>
    </row>
    <row r="27" spans="1:14" x14ac:dyDescent="0.25">
      <c r="A27" s="145"/>
      <c r="B27" s="9" t="str">
        <f>IF(J3=6,INDEX(Language!B4:G36,17,6),IF(J3=5,INDEX(Language!B4:F35,17,1),IF(J3=4,INDEX(Language!B4:F35,17,2),IF(J3=3,INDEX(Language!B4:F35,17,3),IF(J3=2,INDEX(Language!B4:F35,17,4),INDEX(Language!B4:F35,17,5))))))</f>
        <v>Max. current @ MPP max. temp.</v>
      </c>
      <c r="C27" s="9"/>
      <c r="D27" s="9"/>
      <c r="E27" s="9"/>
      <c r="F27" s="9"/>
      <c r="G27" s="37">
        <f>IF('Calculation table'!E20=0,"N.A.",'Calculation table'!G47)</f>
        <v>25.88966238735938</v>
      </c>
      <c r="H27" s="9"/>
      <c r="I27" s="9"/>
      <c r="J27" s="9"/>
      <c r="K27" s="147"/>
    </row>
    <row r="28" spans="1:14" ht="15.75" thickBot="1" x14ac:dyDescent="0.3">
      <c r="A28" s="145"/>
      <c r="B28" s="9"/>
      <c r="C28" s="9"/>
      <c r="D28" s="9"/>
      <c r="E28" s="9"/>
      <c r="F28" s="9"/>
      <c r="G28" s="9" t="str">
        <f>IF(G27="N.A.","",IF('Calculation table'!G47=G24,IF(J3=6,INDEX(Language!B4:G41,28,6),IF(J3=5,INDEX(Language!B4:F35,28,1),IF(J3=4,INDEX(Language!B4:F35,28,2),IF(J3=3,INDEX(Language!B4:F35,28,3),IF(J3=2,INDEX(Language!B4:F35,28,4),INDEX(Language!B4:F35,28,5)))))),""))</f>
        <v/>
      </c>
      <c r="H28" s="9"/>
      <c r="I28" s="9"/>
      <c r="J28" s="9"/>
      <c r="K28" s="147"/>
    </row>
    <row r="29" spans="1:14" ht="15.75" thickBot="1" x14ac:dyDescent="0.3">
      <c r="A29" s="152"/>
      <c r="B29" s="14" t="str">
        <f>IF(J3=6,INDEX(Language!B4:G36,18,6),IF(J3=5,INDEX(Language!B4:F35,18,1),IF(J3=4,INDEX(Language!B4:F35,18,2),IF(J3=3,INDEX(Language!B4:F35,18,3),IF(J3=2,INDEX(Language!B4:F35,18,4),INDEX(Language!B4:F35,18,5))))))</f>
        <v>Solar module configuration</v>
      </c>
      <c r="C29" s="41"/>
      <c r="D29" s="14"/>
      <c r="E29" s="15"/>
      <c r="F29" s="15"/>
      <c r="G29" s="15" t="str">
        <f>IF('Calculation table'!E50=FALSE,IF(G21&lt;=G20,IF(G25&lt;=G24,IF(G23&gt;G22,H29,J29),J29),J29),J29)</f>
        <v>Accepted</v>
      </c>
      <c r="H29" s="112" t="str">
        <f>IF(J3=6,INDEX(Language!B4:G40,37,6),IF(J3=5,INDEX(Language!B4:F40,37,1),IF(J3=4,INDEX(Language!B4:F40,37,2),IF(J3=3,INDEX(Language!B4:F40,37,3),IF(J3=2,INDEX(Language!B4:F40,37,4),INDEX(Language!B4:F40,37,5))))))</f>
        <v>Accepted</v>
      </c>
      <c r="I29" s="112"/>
      <c r="J29" s="113" t="str">
        <f>IF(J3=6,INDEX(Language!B4:G41,38,6),IF(J3=5,INDEX(Language!B4:F41,38,1),IF(J3=4,INDEX(Language!B4:F41,38,2),IF(J3=3,INDEX(Language!B4:F41,38,3),IF(J3=2,INDEX(Language!B4:F41,38,4),INDEX(Language!B4:F41,38,5))))))</f>
        <v>NOT accepted</v>
      </c>
      <c r="K29" s="168"/>
      <c r="L29" s="167"/>
    </row>
    <row r="30" spans="1:14" ht="6" customHeight="1" thickBot="1" x14ac:dyDescent="0.3">
      <c r="A30" s="153"/>
      <c r="B30" s="154"/>
      <c r="C30" s="154"/>
      <c r="D30" s="154"/>
      <c r="E30" s="154"/>
      <c r="F30" s="154"/>
      <c r="G30" s="154"/>
      <c r="H30" s="154"/>
      <c r="I30" s="154"/>
      <c r="J30" s="154"/>
      <c r="K30" s="155"/>
    </row>
    <row r="31" spans="1:14" s="43" customFormat="1" x14ac:dyDescent="0.25">
      <c r="J31" s="65"/>
      <c r="K31" s="65" t="str">
        <f>'MPPT RS'!K54</f>
        <v>BHO 01-2021 4.0</v>
      </c>
    </row>
    <row r="32" spans="1:14" s="43" customFormat="1" x14ac:dyDescent="0.25">
      <c r="J32" s="65"/>
      <c r="K32" s="65"/>
    </row>
    <row r="33" spans="1:13" s="43" customFormat="1" x14ac:dyDescent="0.25">
      <c r="A33" s="166" t="str">
        <f>IF(J3=6,INDEX(Language!B4:G41,34,6),IF(J3=5,INDEX(Language!B4:F37,34,1),IF(J3=4,INDEX(Language!B4:F37,34,2),IF(J3=3,INDEX(Language!B4:F37,34,3),IF(J3=2,INDEX(Language!B4:F37,34,4),INDEX(Language!B4:F37,34,5))))))</f>
        <v>Are the solar modules covered with snow many periods a year?</v>
      </c>
      <c r="B33" s="80"/>
      <c r="C33" s="80"/>
      <c r="D33" s="80"/>
      <c r="E33" s="80"/>
      <c r="F33" s="80"/>
      <c r="G33" s="80"/>
      <c r="H33" s="81"/>
      <c r="I33" s="81"/>
      <c r="J33" s="157" t="str">
        <f>IF(M33=TRUE,IF(J3=6,INDEX(Language!B4:G41,35,6),IF(J3=5,INDEX(Language!B4:F38,35,1),IF(J3=6,INDEX(Language!B4:G41,35,6),IF(J3=4,INDEX(Language!B4:F38,35,2),IF(J3=3,INDEX(Language!B4:F38,35,3),IF(J3=2,INDEX(Language!B4:F38,35,4),INDEX(Language!B4:F38,35,5))))))),IF(J3=6,INDEX(Language!B4:G41,36,6),IF(J3=5,INDEX(Language!B4:F39,36,1),IF(J3=4,INDEX(Language!B4:F39,36,2),IF(J3=3,INDEX(Language!B4:F39,36,3),IF(J3=2,INDEX(Language!B4:F39,36,4),INDEX(Language!B4:F39,36,5)))))))</f>
        <v>No</v>
      </c>
      <c r="K33" s="82"/>
      <c r="M33" s="107" t="b">
        <v>0</v>
      </c>
    </row>
    <row r="34" spans="1:13" s="43" customFormat="1" x14ac:dyDescent="0.25">
      <c r="J34" s="44"/>
      <c r="K34" s="44"/>
    </row>
    <row r="35" spans="1:13" s="43" customFormat="1" x14ac:dyDescent="0.25">
      <c r="A35" s="61" t="str">
        <f>IF(J3=6,INDEX(Language!B4:G41,19,6),IF(J3=5,INDEX(Language!B4:F35,19,1),IF(J3=4,INDEX(Language!B4:F35,19,2),IF(J3=3,INDEX(Language!B4:F35,19,3),IF(J3=2,INDEX(Language!B4:F35,19,4),INDEX(Language!B4:F35,19,5))))))</f>
        <v>Example locations with expected temperatures:</v>
      </c>
      <c r="B35" s="62"/>
      <c r="C35" s="62"/>
      <c r="D35" s="62"/>
      <c r="E35" s="62"/>
      <c r="F35" s="62"/>
      <c r="G35" s="62"/>
      <c r="H35" s="210" t="str">
        <f>IF(J3=5,INDEX(Language!B4:F35,7,1),IF(J3=4,INDEX(Language!B4:F35,7,2),IF(J3=3,INDEX(Language!B4:F35,7,3),IF(J3=2,INDEX(Language!B4:F35,7,4),INDEX(Language!B4:F35,7,5)))))</f>
        <v>Min.</v>
      </c>
      <c r="I35" s="211"/>
      <c r="J35" s="210" t="str">
        <f>IF(J3=5,INDEX(Language!B4:F35,8,1),IF(J3=4,INDEX(Language!B4:F35,8,2),IF(J3=3,INDEX(Language!B4:F35,8,3),IF(J3=2,INDEX(Language!B4:F35,8,4),INDEX(Language!B4:F35,8,5)))))</f>
        <v xml:space="preserve">Max. </v>
      </c>
      <c r="K35" s="211"/>
    </row>
    <row r="36" spans="1:13" s="43" customFormat="1" x14ac:dyDescent="0.25">
      <c r="A36" s="63" t="str">
        <f>IF(J3=6,INDEX(Language!B4:G41,20,6),IF(J3=5,INDEX(Language!B4:F35,20,1),IF(J3=4,INDEX(Language!B4:F35,20,2),IF(J3=3,INDEX(Language!B4:F35,20,3),IF(J3=2,INDEX(Language!B4:F35,20,4),INDEX(Language!B4:F35,20,5))))))</f>
        <v>Flat on mobile home, all year (poor ventilation)</v>
      </c>
      <c r="B36" s="64"/>
      <c r="C36" s="64"/>
      <c r="D36" s="64"/>
      <c r="E36" s="64"/>
      <c r="F36" s="64"/>
      <c r="G36" s="64"/>
      <c r="H36" s="135">
        <f t="shared" ref="H36:H42" si="0">IF($B$12=1, M36, ((M36)*9/5)+32)</f>
        <v>0</v>
      </c>
      <c r="I36" s="136" t="str">
        <f>IF(B12=1, "°C", "°F")</f>
        <v>°C</v>
      </c>
      <c r="J36" s="135">
        <f>IF(B12=1, 70, ((70)*9/5)+32)</f>
        <v>70</v>
      </c>
      <c r="K36" s="136" t="str">
        <f>IF(B12=1, "°C", "°F")</f>
        <v>°C</v>
      </c>
      <c r="M36" s="158">
        <f>IF(M33=TRUE,-10,0)</f>
        <v>0</v>
      </c>
    </row>
    <row r="37" spans="1:13" s="43" customFormat="1" x14ac:dyDescent="0.25">
      <c r="A37" s="63" t="str">
        <f>IF(J3=6,INDEX(Language!B4:G41,21,6),IF(J3=5,INDEX(Language!B4:F35,21,1),IF(J3=4,INDEX(Language!B4:F35,21,2),IF(J3=3,INDEX(Language!B4:F35,21,3),IF(J3=2,INDEX(Language!B4:F35,21,4),INDEX(Language!B4:F35,21,5))))))</f>
        <v>Flat on mobile home, only summer (poor ventilation)</v>
      </c>
      <c r="B37" s="64"/>
      <c r="C37" s="64"/>
      <c r="D37" s="64"/>
      <c r="E37" s="64"/>
      <c r="F37" s="64"/>
      <c r="G37" s="64"/>
      <c r="H37" s="133">
        <f t="shared" si="0"/>
        <v>15</v>
      </c>
      <c r="I37" s="137" t="str">
        <f>IF(B12=1, "°C", "°F")</f>
        <v>°C</v>
      </c>
      <c r="J37" s="133">
        <f>IF(B12=1, 70, ((70)*9/5)+32)</f>
        <v>70</v>
      </c>
      <c r="K37" s="137" t="str">
        <f>IF(B12=1, "°C", "°F")</f>
        <v>°C</v>
      </c>
      <c r="M37" s="158">
        <f>IF(M33=TRUE,5,15)</f>
        <v>15</v>
      </c>
    </row>
    <row r="38" spans="1:13" s="43" customFormat="1" x14ac:dyDescent="0.25">
      <c r="A38" s="63" t="str">
        <f>IF(J3=6,INDEX(Language!B4:G41,22,6),IF(J3=5,INDEX(Language!B4:F35,22,1),IF(J3=4,INDEX(Language!B4:F35,22,2),IF(J3=3,INDEX(Language!B4:F35,22,3),IF(J3=2,INDEX(Language!B4:F35,22,4),INDEX(Language!B4:F35,22,5))))))</f>
        <v>Flat on boat (poor ventilation)</v>
      </c>
      <c r="B38" s="64"/>
      <c r="C38" s="64"/>
      <c r="D38" s="64"/>
      <c r="E38" s="64"/>
      <c r="F38" s="64"/>
      <c r="G38" s="64"/>
      <c r="H38" s="133">
        <f t="shared" si="0"/>
        <v>10</v>
      </c>
      <c r="I38" s="137" t="str">
        <f>IF(B12=1, "°C", "°F")</f>
        <v>°C</v>
      </c>
      <c r="J38" s="133">
        <f>IF(B12=1, 65, ((65)*9/5)+32)</f>
        <v>65</v>
      </c>
      <c r="K38" s="137" t="str">
        <f>IF(B12=1, "°C", "°F")</f>
        <v>°C</v>
      </c>
      <c r="M38" s="158">
        <f>IF(M33=TRUE,0,10)</f>
        <v>10</v>
      </c>
    </row>
    <row r="39" spans="1:13" s="43" customFormat="1" x14ac:dyDescent="0.25">
      <c r="A39" s="63" t="str">
        <f>IF(J3=6,INDEX(Language!B4:G41,23,6),IF(J3=5,INDEX(Language!B4:F35,23,1),IF(J3=4,INDEX(Language!B4:F35,23,2),IF(J3=3,INDEX(Language!B4:F35,23,3),IF(J3=2,INDEX(Language!B4:F35,23,4),INDEX(Language!B4:F35,23,5))))))</f>
        <v>Pitched on boat (good ventilation)</v>
      </c>
      <c r="B39" s="64"/>
      <c r="C39" s="64"/>
      <c r="D39" s="64"/>
      <c r="E39" s="64"/>
      <c r="F39" s="64"/>
      <c r="G39" s="64"/>
      <c r="H39" s="133">
        <f t="shared" si="0"/>
        <v>5</v>
      </c>
      <c r="I39" s="137" t="str">
        <f>IF(B12=1, "°C", "°F")</f>
        <v>°C</v>
      </c>
      <c r="J39" s="133">
        <f>IF(B12=1, 60, ((60)*9/5)+32)</f>
        <v>60</v>
      </c>
      <c r="K39" s="137" t="str">
        <f>IF(B12=1, "°C", "°F")</f>
        <v>°C</v>
      </c>
      <c r="M39" s="158">
        <f>IF(M33=TRUE,-5,5)</f>
        <v>5</v>
      </c>
    </row>
    <row r="40" spans="1:13" s="43" customFormat="1" x14ac:dyDescent="0.25">
      <c r="A40" s="63" t="str">
        <f>IF(J3=6,INDEX(Language!B4:G41,24,6),IF(J3=5,INDEX(Language!B4:F35,24,1),IF(J3=4,INDEX(Language!B4:F35,24,2),IF(J3=3,INDEX(Language!B4:F35,24,3),IF(J3=2,INDEX(Language!B4:F35,24,4),INDEX(Language!B4:F35,24,5))))))</f>
        <v>Pitched roof in warm region (good ventilation)</v>
      </c>
      <c r="B40" s="64"/>
      <c r="C40" s="64"/>
      <c r="D40" s="64"/>
      <c r="E40" s="64"/>
      <c r="F40" s="64"/>
      <c r="G40" s="64"/>
      <c r="H40" s="133">
        <f t="shared" si="0"/>
        <v>5</v>
      </c>
      <c r="I40" s="137" t="str">
        <f>IF(B12=1, "°C", "°F")</f>
        <v>°C</v>
      </c>
      <c r="J40" s="133">
        <f>IF(B12=1, 70, ((70)*9/5)+32)</f>
        <v>70</v>
      </c>
      <c r="K40" s="137" t="str">
        <f>IF(B12=1, "°C", "°F")</f>
        <v>°C</v>
      </c>
      <c r="M40" s="158">
        <f>IF(M33=TRUE,-5,5)</f>
        <v>5</v>
      </c>
    </row>
    <row r="41" spans="1:13" s="43" customFormat="1" x14ac:dyDescent="0.25">
      <c r="A41" s="63" t="str">
        <f>IF(J3=6,INDEX(Language!B4:G41,25,6),IF(J3=5,INDEX(Language!B4:F35,25,1),IF(J3=4,INDEX(Language!B4:F35,25,2),IF(J3=3,INDEX(Language!B4:F35,25,3),IF(J3=2,INDEX(Language!B4:F35,25,4),INDEX(Language!B4:F35,25,5))))))</f>
        <v>Pitched roof in average region (good ventilation)</v>
      </c>
      <c r="B41" s="64"/>
      <c r="C41" s="64"/>
      <c r="D41" s="64"/>
      <c r="E41" s="64"/>
      <c r="F41" s="64"/>
      <c r="G41" s="64"/>
      <c r="H41" s="133">
        <f t="shared" si="0"/>
        <v>0</v>
      </c>
      <c r="I41" s="137" t="str">
        <f>IF(B12=1, "°C", "°F")</f>
        <v>°C</v>
      </c>
      <c r="J41" s="133">
        <f>IF(B12=1, 65, ((65)*9/5)+32)</f>
        <v>65</v>
      </c>
      <c r="K41" s="137" t="str">
        <f>IF(B12=1, "°C", "°F")</f>
        <v>°C</v>
      </c>
      <c r="M41" s="158">
        <f>IF(M33=TRUE,-10,0)</f>
        <v>0</v>
      </c>
    </row>
    <row r="42" spans="1:13" s="43" customFormat="1" x14ac:dyDescent="0.25">
      <c r="A42" s="63" t="str">
        <f>IF(J3=6,INDEX(Language!B4:G41,26,6),IF(J3=5,INDEX(Language!B4:F35,26,1),IF(J3=4,INDEX(Language!B4:F35,26,2),IF(J3=3,INDEX(Language!B4:F35,26,3),IF(J3=2,INDEX(Language!B4:F35,26,4),INDEX(Language!B4:F35,26,5))))))</f>
        <v>Pitched roof on mountain (good ventilation)</v>
      </c>
      <c r="B42" s="64"/>
      <c r="C42" s="64"/>
      <c r="D42" s="64"/>
      <c r="E42" s="64"/>
      <c r="F42" s="64"/>
      <c r="G42" s="64"/>
      <c r="H42" s="134">
        <f t="shared" si="0"/>
        <v>-5</v>
      </c>
      <c r="I42" s="138" t="str">
        <f>IF(B12=1, "°C", "°F")</f>
        <v>°C</v>
      </c>
      <c r="J42" s="134">
        <f>IF(B12=1, 60, ((60)*9/5)+32)</f>
        <v>60</v>
      </c>
      <c r="K42" s="138" t="str">
        <f>IF(B12=1, "°C", "°F")</f>
        <v>°C</v>
      </c>
      <c r="M42" s="158">
        <f>IF(M33=TRUE,-10,-5)</f>
        <v>-5</v>
      </c>
    </row>
    <row r="43" spans="1:13" s="43" customFormat="1" x14ac:dyDescent="0.25"/>
    <row r="44" spans="1:13" s="43" customFormat="1" x14ac:dyDescent="0.25"/>
    <row r="45" spans="1:13" s="43" customFormat="1" x14ac:dyDescent="0.25"/>
    <row r="46" spans="1:13" s="43" customFormat="1" x14ac:dyDescent="0.25"/>
    <row r="47" spans="1:13" s="43" customFormat="1" x14ac:dyDescent="0.25"/>
    <row r="48" spans="1:13" s="43" customFormat="1" x14ac:dyDescent="0.25"/>
    <row r="49" s="43" customFormat="1" x14ac:dyDescent="0.25"/>
    <row r="50" s="43" customFormat="1" x14ac:dyDescent="0.25"/>
    <row r="51" s="43" customFormat="1" x14ac:dyDescent="0.25"/>
    <row r="52" s="43" customFormat="1" x14ac:dyDescent="0.25"/>
    <row r="53" s="43" customFormat="1" x14ac:dyDescent="0.25"/>
    <row r="54" s="43" customFormat="1" x14ac:dyDescent="0.25"/>
    <row r="55" s="43" customFormat="1" x14ac:dyDescent="0.25"/>
    <row r="56" s="43" customFormat="1" x14ac:dyDescent="0.25"/>
    <row r="57" s="43" customFormat="1" x14ac:dyDescent="0.25"/>
    <row r="58" s="43" customFormat="1" x14ac:dyDescent="0.25"/>
    <row r="59" s="43" customFormat="1" x14ac:dyDescent="0.25"/>
    <row r="60" s="43" customFormat="1" x14ac:dyDescent="0.25"/>
    <row r="61" s="43" customFormat="1" x14ac:dyDescent="0.25"/>
    <row r="62" s="43" customFormat="1" x14ac:dyDescent="0.25"/>
    <row r="63" s="43" customFormat="1" x14ac:dyDescent="0.25"/>
    <row r="64" s="43" customFormat="1" x14ac:dyDescent="0.25"/>
    <row r="65" s="43" customFormat="1" x14ac:dyDescent="0.25"/>
    <row r="66" s="43" customFormat="1" x14ac:dyDescent="0.25"/>
    <row r="67" s="43" customFormat="1" x14ac:dyDescent="0.25"/>
    <row r="68" s="43" customFormat="1" x14ac:dyDescent="0.25"/>
    <row r="69" s="43" customFormat="1" x14ac:dyDescent="0.25"/>
    <row r="70" s="43" customFormat="1" x14ac:dyDescent="0.25"/>
    <row r="71" s="43" customFormat="1" x14ac:dyDescent="0.25"/>
    <row r="72" s="43" customFormat="1" x14ac:dyDescent="0.25"/>
    <row r="73" s="43" customFormat="1" x14ac:dyDescent="0.25"/>
    <row r="74" s="43" customFormat="1" x14ac:dyDescent="0.25"/>
    <row r="75" s="43" customFormat="1" x14ac:dyDescent="0.25"/>
    <row r="76" s="43" customFormat="1" x14ac:dyDescent="0.25"/>
    <row r="77" s="43" customFormat="1" x14ac:dyDescent="0.25"/>
    <row r="78" s="43" customFormat="1" x14ac:dyDescent="0.25"/>
    <row r="79" s="43" customFormat="1" x14ac:dyDescent="0.25"/>
    <row r="80" s="43" customFormat="1" x14ac:dyDescent="0.25"/>
    <row r="81" s="43" customFormat="1" x14ac:dyDescent="0.25"/>
    <row r="82" s="43" customFormat="1" x14ac:dyDescent="0.25"/>
    <row r="83" s="43" customFormat="1" x14ac:dyDescent="0.25"/>
    <row r="84" s="43" customFormat="1" x14ac:dyDescent="0.25"/>
    <row r="85" s="43" customFormat="1" x14ac:dyDescent="0.25"/>
    <row r="86" s="43" customFormat="1" x14ac:dyDescent="0.25"/>
    <row r="87" s="43" customFormat="1" x14ac:dyDescent="0.25"/>
    <row r="88" s="43" customFormat="1" x14ac:dyDescent="0.25"/>
    <row r="89" s="43" customFormat="1" x14ac:dyDescent="0.25"/>
    <row r="90" s="43" customFormat="1" x14ac:dyDescent="0.25"/>
    <row r="91" s="43" customFormat="1" x14ac:dyDescent="0.25"/>
    <row r="92" s="43" customFormat="1" x14ac:dyDescent="0.25"/>
    <row r="93" s="43" customFormat="1" x14ac:dyDescent="0.25"/>
    <row r="94" s="43" customFormat="1" x14ac:dyDescent="0.25"/>
    <row r="95" s="43" customFormat="1" x14ac:dyDescent="0.25"/>
    <row r="96" s="43" customFormat="1" x14ac:dyDescent="0.25"/>
    <row r="97" s="43" customFormat="1" x14ac:dyDescent="0.25"/>
    <row r="98" s="43" customFormat="1" x14ac:dyDescent="0.25"/>
    <row r="99" s="43" customFormat="1" x14ac:dyDescent="0.25"/>
    <row r="100" s="43" customFormat="1" x14ac:dyDescent="0.25"/>
    <row r="101" s="43" customFormat="1" x14ac:dyDescent="0.25"/>
    <row r="102" s="43" customFormat="1" x14ac:dyDescent="0.25"/>
    <row r="103" s="43" customFormat="1" x14ac:dyDescent="0.25"/>
    <row r="104" s="43" customFormat="1" x14ac:dyDescent="0.25"/>
    <row r="105" s="43" customFormat="1" x14ac:dyDescent="0.25"/>
    <row r="106" s="43" customFormat="1" x14ac:dyDescent="0.25"/>
    <row r="107" s="43" customFormat="1" x14ac:dyDescent="0.25"/>
    <row r="108" s="43" customFormat="1" x14ac:dyDescent="0.25"/>
    <row r="109" s="43" customFormat="1" x14ac:dyDescent="0.25"/>
    <row r="110" s="43" customFormat="1" x14ac:dyDescent="0.25"/>
    <row r="111" s="43" customFormat="1" x14ac:dyDescent="0.25"/>
    <row r="112" s="43" customFormat="1" x14ac:dyDescent="0.25"/>
    <row r="113" s="43" customFormat="1" x14ac:dyDescent="0.25"/>
    <row r="114" s="43" customFormat="1" x14ac:dyDescent="0.25"/>
    <row r="115" s="43" customFormat="1" x14ac:dyDescent="0.25"/>
    <row r="116" s="43" customFormat="1" x14ac:dyDescent="0.25"/>
    <row r="117" s="43" customFormat="1" x14ac:dyDescent="0.25"/>
    <row r="118" s="43" customFormat="1" x14ac:dyDescent="0.25"/>
    <row r="119" s="43" customFormat="1" x14ac:dyDescent="0.25"/>
    <row r="120" s="43" customFormat="1" x14ac:dyDescent="0.25"/>
    <row r="121" s="43" customFormat="1" x14ac:dyDescent="0.25"/>
    <row r="122" s="43" customFormat="1" x14ac:dyDescent="0.25"/>
    <row r="123" s="43" customFormat="1" x14ac:dyDescent="0.25"/>
    <row r="124" s="43" customFormat="1" x14ac:dyDescent="0.25"/>
    <row r="125" s="43" customFormat="1" x14ac:dyDescent="0.25"/>
    <row r="126" s="43" customFormat="1" x14ac:dyDescent="0.25"/>
    <row r="127" s="43" customFormat="1" x14ac:dyDescent="0.25"/>
    <row r="128" s="43" customFormat="1" x14ac:dyDescent="0.25"/>
    <row r="129" s="43" customFormat="1" x14ac:dyDescent="0.25"/>
    <row r="130" s="43" customFormat="1" x14ac:dyDescent="0.25"/>
    <row r="131" s="43" customFormat="1" x14ac:dyDescent="0.25"/>
    <row r="132" s="43" customFormat="1" x14ac:dyDescent="0.25"/>
    <row r="133" s="43" customFormat="1" x14ac:dyDescent="0.25"/>
    <row r="134" s="43" customFormat="1" x14ac:dyDescent="0.25"/>
    <row r="135" s="43" customFormat="1" x14ac:dyDescent="0.25"/>
    <row r="136" s="43" customFormat="1" x14ac:dyDescent="0.25"/>
    <row r="137" s="43" customFormat="1" x14ac:dyDescent="0.25"/>
    <row r="138" s="43" customFormat="1" x14ac:dyDescent="0.25"/>
    <row r="139" s="43" customFormat="1" x14ac:dyDescent="0.25"/>
    <row r="140" s="43" customFormat="1" x14ac:dyDescent="0.25"/>
    <row r="141" s="43" customFormat="1" x14ac:dyDescent="0.25"/>
    <row r="142" s="43" customFormat="1" x14ac:dyDescent="0.25"/>
    <row r="143" s="43" customFormat="1" x14ac:dyDescent="0.25"/>
    <row r="144" s="43" customFormat="1" x14ac:dyDescent="0.25"/>
    <row r="145" s="43" customFormat="1" x14ac:dyDescent="0.25"/>
    <row r="146" s="43" customFormat="1" x14ac:dyDescent="0.25"/>
    <row r="147" s="43" customFormat="1" x14ac:dyDescent="0.25"/>
    <row r="148" s="43" customFormat="1" x14ac:dyDescent="0.25"/>
    <row r="149" s="43" customFormat="1" x14ac:dyDescent="0.25"/>
    <row r="150" s="43" customFormat="1" x14ac:dyDescent="0.25"/>
    <row r="151" s="43" customFormat="1" x14ac:dyDescent="0.25"/>
    <row r="152" s="43" customFormat="1" x14ac:dyDescent="0.25"/>
    <row r="153" s="43" customFormat="1" x14ac:dyDescent="0.25"/>
    <row r="154" s="43" customFormat="1" x14ac:dyDescent="0.25"/>
    <row r="155" s="43" customFormat="1" x14ac:dyDescent="0.25"/>
    <row r="156" s="43" customFormat="1" x14ac:dyDescent="0.25"/>
    <row r="157" s="43" customFormat="1" x14ac:dyDescent="0.25"/>
    <row r="158" s="43" customFormat="1" x14ac:dyDescent="0.25"/>
    <row r="159" s="43" customFormat="1" x14ac:dyDescent="0.25"/>
    <row r="160" s="43" customFormat="1" x14ac:dyDescent="0.25"/>
    <row r="161" s="43" customFormat="1" x14ac:dyDescent="0.25"/>
    <row r="162" s="43" customFormat="1" x14ac:dyDescent="0.25"/>
    <row r="163" s="43" customFormat="1" x14ac:dyDescent="0.25"/>
    <row r="164" s="43" customFormat="1" x14ac:dyDescent="0.25"/>
    <row r="165" s="43" customFormat="1" x14ac:dyDescent="0.25"/>
    <row r="166" s="43" customFormat="1" x14ac:dyDescent="0.25"/>
    <row r="167" s="43" customFormat="1" x14ac:dyDescent="0.25"/>
    <row r="168" s="43" customFormat="1" x14ac:dyDescent="0.25"/>
    <row r="169" s="43" customFormat="1" x14ac:dyDescent="0.25"/>
    <row r="170" s="43" customFormat="1" x14ac:dyDescent="0.25"/>
    <row r="171" s="43" customFormat="1" x14ac:dyDescent="0.25"/>
    <row r="172" s="43" customFormat="1" x14ac:dyDescent="0.25"/>
    <row r="173" s="43" customFormat="1" x14ac:dyDescent="0.25"/>
    <row r="174" s="43" customFormat="1" x14ac:dyDescent="0.25"/>
    <row r="175" s="43" customFormat="1" x14ac:dyDescent="0.25"/>
    <row r="176" s="43" customFormat="1" x14ac:dyDescent="0.25"/>
    <row r="177" s="43" customFormat="1" x14ac:dyDescent="0.25"/>
    <row r="178" s="43" customFormat="1" x14ac:dyDescent="0.25"/>
    <row r="179" s="43" customFormat="1" x14ac:dyDescent="0.25"/>
    <row r="180" s="43" customFormat="1" x14ac:dyDescent="0.25"/>
    <row r="181" s="43" customFormat="1" x14ac:dyDescent="0.25"/>
    <row r="182" s="43" customFormat="1" x14ac:dyDescent="0.25"/>
    <row r="183" s="43" customFormat="1" x14ac:dyDescent="0.25"/>
    <row r="184" s="43" customFormat="1" x14ac:dyDescent="0.25"/>
    <row r="185" s="43" customFormat="1" x14ac:dyDescent="0.25"/>
    <row r="186" s="43" customFormat="1" x14ac:dyDescent="0.25"/>
    <row r="187" s="43" customFormat="1" x14ac:dyDescent="0.25"/>
    <row r="188" s="43" customFormat="1" x14ac:dyDescent="0.25"/>
    <row r="189" s="43" customFormat="1" x14ac:dyDescent="0.25"/>
    <row r="190" s="43" customFormat="1" x14ac:dyDescent="0.25"/>
    <row r="191" s="43" customFormat="1" x14ac:dyDescent="0.25"/>
    <row r="192" s="43" customFormat="1" x14ac:dyDescent="0.25"/>
    <row r="193" s="43" customFormat="1" x14ac:dyDescent="0.25"/>
    <row r="194" s="43" customFormat="1" x14ac:dyDescent="0.25"/>
    <row r="195" s="43" customFormat="1" x14ac:dyDescent="0.25"/>
    <row r="196" s="43" customFormat="1" x14ac:dyDescent="0.25"/>
    <row r="197" s="43" customFormat="1" x14ac:dyDescent="0.25"/>
    <row r="198" s="43" customFormat="1" x14ac:dyDescent="0.25"/>
    <row r="199" s="43" customFormat="1" x14ac:dyDescent="0.25"/>
    <row r="200" s="43" customFormat="1" x14ac:dyDescent="0.25"/>
    <row r="201" s="43" customFormat="1" x14ac:dyDescent="0.25"/>
    <row r="202" s="43" customFormat="1" x14ac:dyDescent="0.25"/>
    <row r="203" s="43" customFormat="1" x14ac:dyDescent="0.25"/>
    <row r="204" s="43" customFormat="1" x14ac:dyDescent="0.25"/>
    <row r="205" s="43" customFormat="1" x14ac:dyDescent="0.25"/>
    <row r="206" s="43" customFormat="1" x14ac:dyDescent="0.25"/>
    <row r="207" s="43" customFormat="1" x14ac:dyDescent="0.25"/>
    <row r="208" s="43" customFormat="1" x14ac:dyDescent="0.25"/>
    <row r="209" s="43" customFormat="1" x14ac:dyDescent="0.25"/>
    <row r="210" s="43" customFormat="1" x14ac:dyDescent="0.25"/>
    <row r="211" s="43" customFormat="1" x14ac:dyDescent="0.25"/>
    <row r="212" s="43" customFormat="1" x14ac:dyDescent="0.25"/>
    <row r="213" s="43" customFormat="1" x14ac:dyDescent="0.25"/>
    <row r="214" s="43" customFormat="1" x14ac:dyDescent="0.25"/>
    <row r="215" s="43" customFormat="1" x14ac:dyDescent="0.25"/>
    <row r="216" s="43" customFormat="1" x14ac:dyDescent="0.25"/>
    <row r="217" s="43" customFormat="1" x14ac:dyDescent="0.25"/>
    <row r="218" s="43" customFormat="1" x14ac:dyDescent="0.25"/>
    <row r="219" s="43" customFormat="1" x14ac:dyDescent="0.25"/>
    <row r="220" s="43" customFormat="1" x14ac:dyDescent="0.25"/>
    <row r="221" s="43" customFormat="1" x14ac:dyDescent="0.25"/>
    <row r="222" s="43" customFormat="1" x14ac:dyDescent="0.25"/>
    <row r="223" s="43" customFormat="1" x14ac:dyDescent="0.25"/>
    <row r="224" s="43" customFormat="1" x14ac:dyDescent="0.25"/>
    <row r="225" s="43" customFormat="1" x14ac:dyDescent="0.25"/>
    <row r="226" s="43" customFormat="1" x14ac:dyDescent="0.25"/>
    <row r="227" s="43" customFormat="1" x14ac:dyDescent="0.25"/>
    <row r="228" s="43" customFormat="1" x14ac:dyDescent="0.25"/>
    <row r="229" s="43" customFormat="1" x14ac:dyDescent="0.25"/>
    <row r="230" s="43" customFormat="1" x14ac:dyDescent="0.25"/>
    <row r="231" s="43" customFormat="1" x14ac:dyDescent="0.25"/>
  </sheetData>
  <sheetProtection algorithmName="SHA-512" hashValue="48SA00WoUfyDMzwwdV141e+eYhH8xe0VpPWbmPCUDVvejFpTofsK4vEOBP9xjPtT3J50feEPSo4SVApHcVywmg==" saltValue="p2FPDAa901lL27vRJMmEgg==" spinCount="100000" sheet="1" selectLockedCells="1" selectUnlockedCells="1"/>
  <mergeCells count="7">
    <mergeCell ref="H17:I17"/>
    <mergeCell ref="H6:I6"/>
    <mergeCell ref="J35:K35"/>
    <mergeCell ref="H35:I35"/>
    <mergeCell ref="C1:G2"/>
    <mergeCell ref="E18:F18"/>
    <mergeCell ref="H18:I18"/>
  </mergeCells>
  <conditionalFormatting sqref="G21">
    <cfRule type="cellIs" dxfId="141" priority="19" operator="greaterThan">
      <formula>$G$20</formula>
    </cfRule>
    <cfRule type="cellIs" dxfId="140" priority="22" operator="lessThanOrEqual">
      <formula>$G$20</formula>
    </cfRule>
  </conditionalFormatting>
  <conditionalFormatting sqref="G25 G27">
    <cfRule type="cellIs" dxfId="139" priority="15" operator="greaterThanOrEqual">
      <formula>$G$24</formula>
    </cfRule>
    <cfRule type="cellIs" dxfId="138" priority="20" operator="lessThan">
      <formula>$G$24</formula>
    </cfRule>
  </conditionalFormatting>
  <conditionalFormatting sqref="G23">
    <cfRule type="cellIs" dxfId="137" priority="16" operator="lessThan">
      <formula>$G$22</formula>
    </cfRule>
    <cfRule type="cellIs" dxfId="136" priority="17" operator="greaterThanOrEqual">
      <formula>$G$22</formula>
    </cfRule>
  </conditionalFormatting>
  <conditionalFormatting sqref="G29">
    <cfRule type="containsText" dxfId="135" priority="2" operator="containsText" text="NOT accepted">
      <formula>NOT(ISERROR(SEARCH("NOT accepted",G29)))</formula>
    </cfRule>
    <cfRule type="containsText" dxfId="134" priority="3" operator="containsText" text="NIET toegestaan">
      <formula>NOT(ISERROR(SEARCH("NIET toegestaan",G29)))</formula>
    </cfRule>
    <cfRule type="containsText" dxfId="133" priority="4" operator="containsText" text="NO aceptado">
      <formula>NOT(ISERROR(SEARCH("NO aceptado",G29)))</formula>
    </cfRule>
    <cfRule type="containsText" dxfId="132" priority="5" operator="containsText" text="NICHT erlaubt">
      <formula>NOT(ISERROR(SEARCH("NICHT erlaubt",G29)))</formula>
    </cfRule>
    <cfRule type="containsText" dxfId="131" priority="6" operator="containsText" text="PAS accepté">
      <formula>NOT(ISERROR(SEARCH("PAS accepté",G29)))</formula>
    </cfRule>
    <cfRule type="containsText" dxfId="130" priority="7" operator="containsText" text="Toegestaan">
      <formula>NOT(ISERROR(SEARCH("Toegestaan",G29)))</formula>
    </cfRule>
    <cfRule type="containsText" dxfId="129" priority="8" operator="containsText" text="Aceptado">
      <formula>NOT(ISERROR(SEARCH("Aceptado",G29)))</formula>
    </cfRule>
    <cfRule type="containsText" dxfId="128" priority="9" operator="containsText" text="Erlaubt">
      <formula>NOT(ISERROR(SEARCH("Erlaubt",G29)))</formula>
    </cfRule>
    <cfRule type="containsText" dxfId="127" priority="10" operator="containsText" text="Accepté">
      <formula>NOT(ISERROR(SEARCH("Accepté",G29)))</formula>
    </cfRule>
    <cfRule type="containsText" dxfId="126" priority="13" operator="containsText" text="Accepted">
      <formula>NOT(ISERROR(SEARCH("Accepted",G29)))</formula>
    </cfRule>
  </conditionalFormatting>
  <pageMargins left="0.7" right="0.7" top="0.75" bottom="0.75" header="0.3" footer="0.3"/>
  <pageSetup paperSize="9" scale="95" orientation="portrait" r:id="rId1"/>
  <drawing r:id="rId2"/>
  <legacyDrawing r:id="rId3"/>
  <controls>
    <mc:AlternateContent xmlns:mc="http://schemas.openxmlformats.org/markup-compatibility/2006">
      <mc:Choice Requires="x14">
        <control shapeId="1050" r:id="rId4" name="CheckBox1">
          <controlPr defaultSize="0" autoLine="0" r:id="rId5">
            <anchor>
              <from>
                <xdr:col>2</xdr:col>
                <xdr:colOff>152400</xdr:colOff>
                <xdr:row>10</xdr:row>
                <xdr:rowOff>28575</xdr:rowOff>
              </from>
              <to>
                <xdr:col>2</xdr:col>
                <xdr:colOff>276225</xdr:colOff>
                <xdr:row>10</xdr:row>
                <xdr:rowOff>142875</xdr:rowOff>
              </to>
            </anchor>
          </controlPr>
        </control>
      </mc:Choice>
      <mc:Fallback>
        <control shapeId="1050" r:id="rId4" name="CheckBox1"/>
      </mc:Fallback>
    </mc:AlternateContent>
    <mc:AlternateContent xmlns:mc="http://schemas.openxmlformats.org/markup-compatibility/2006">
      <mc:Choice Requires="x14">
        <control shapeId="1052" r:id="rId6" name="CheckBox2">
          <controlPr defaultSize="0" autoLine="0" r:id="rId7">
            <anchor>
              <from>
                <xdr:col>2</xdr:col>
                <xdr:colOff>152400</xdr:colOff>
                <xdr:row>11</xdr:row>
                <xdr:rowOff>38100</xdr:rowOff>
              </from>
              <to>
                <xdr:col>2</xdr:col>
                <xdr:colOff>276225</xdr:colOff>
                <xdr:row>11</xdr:row>
                <xdr:rowOff>152400</xdr:rowOff>
              </to>
            </anchor>
          </controlPr>
        </control>
      </mc:Choice>
      <mc:Fallback>
        <control shapeId="1052" r:id="rId6" name="CheckBox2"/>
      </mc:Fallback>
    </mc:AlternateContent>
    <mc:AlternateContent xmlns:mc="http://schemas.openxmlformats.org/markup-compatibility/2006">
      <mc:Choice Requires="x14">
        <control shapeId="1028" r:id="rId8" name="Drop Down 4">
          <controlPr defaultSize="0" autoLine="0" autoPict="0">
            <anchor moveWithCells="1">
              <from>
                <xdr:col>2</xdr:col>
                <xdr:colOff>161925</xdr:colOff>
                <xdr:row>3</xdr:row>
                <xdr:rowOff>0</xdr:rowOff>
              </from>
              <to>
                <xdr:col>9</xdr:col>
                <xdr:colOff>485775</xdr:colOff>
                <xdr:row>3</xdr:row>
                <xdr:rowOff>190500</xdr:rowOff>
              </to>
            </anchor>
          </controlPr>
        </control>
      </mc:Choice>
    </mc:AlternateContent>
    <mc:AlternateContent xmlns:mc="http://schemas.openxmlformats.org/markup-compatibility/2006">
      <mc:Choice Requires="x14">
        <control shapeId="1029" r:id="rId9" name="Drop Down 5">
          <controlPr defaultSize="0" autoLine="0" autoPict="0">
            <anchor moveWithCells="1">
              <from>
                <xdr:col>2</xdr:col>
                <xdr:colOff>152400</xdr:colOff>
                <xdr:row>12</xdr:row>
                <xdr:rowOff>19050</xdr:rowOff>
              </from>
              <to>
                <xdr:col>9</xdr:col>
                <xdr:colOff>476250</xdr:colOff>
                <xdr:row>13</xdr:row>
                <xdr:rowOff>9525</xdr:rowOff>
              </to>
            </anchor>
          </controlPr>
        </control>
      </mc:Choice>
    </mc:AlternateContent>
    <mc:AlternateContent xmlns:mc="http://schemas.openxmlformats.org/markup-compatibility/2006">
      <mc:Choice Requires="x14">
        <control shapeId="1030" r:id="rId10" name="Drop Down 6">
          <controlPr defaultSize="0" autoLine="0" autoPict="0">
            <anchor moveWithCells="1">
              <from>
                <xdr:col>4</xdr:col>
                <xdr:colOff>0</xdr:colOff>
                <xdr:row>13</xdr:row>
                <xdr:rowOff>171450</xdr:rowOff>
              </from>
              <to>
                <xdr:col>5</xdr:col>
                <xdr:colOff>190500</xdr:colOff>
                <xdr:row>15</xdr:row>
                <xdr:rowOff>9525</xdr:rowOff>
              </to>
            </anchor>
          </controlPr>
        </control>
      </mc:Choice>
    </mc:AlternateContent>
    <mc:AlternateContent xmlns:mc="http://schemas.openxmlformats.org/markup-compatibility/2006">
      <mc:Choice Requires="x14">
        <control shapeId="1032" r:id="rId11" name="Spinner 8">
          <controlPr defaultSize="0" autoPict="0">
            <anchor>
              <from>
                <xdr:col>4</xdr:col>
                <xdr:colOff>76200</xdr:colOff>
                <xdr:row>4</xdr:row>
                <xdr:rowOff>180975</xdr:rowOff>
              </from>
              <to>
                <xdr:col>5</xdr:col>
                <xdr:colOff>0</xdr:colOff>
                <xdr:row>6</xdr:row>
                <xdr:rowOff>9525</xdr:rowOff>
              </to>
            </anchor>
          </controlPr>
        </control>
      </mc:Choice>
    </mc:AlternateContent>
    <mc:AlternateContent xmlns:mc="http://schemas.openxmlformats.org/markup-compatibility/2006">
      <mc:Choice Requires="x14">
        <control shapeId="1033" r:id="rId12" name="Spinner 9">
          <controlPr defaultSize="0" autoPict="0">
            <anchor>
              <from>
                <xdr:col>9</xdr:col>
                <xdr:colOff>85725</xdr:colOff>
                <xdr:row>4</xdr:row>
                <xdr:rowOff>180975</xdr:rowOff>
              </from>
              <to>
                <xdr:col>9</xdr:col>
                <xdr:colOff>381000</xdr:colOff>
                <xdr:row>6</xdr:row>
                <xdr:rowOff>9525</xdr:rowOff>
              </to>
            </anchor>
          </controlPr>
        </control>
      </mc:Choice>
    </mc:AlternateContent>
    <mc:AlternateContent xmlns:mc="http://schemas.openxmlformats.org/markup-compatibility/2006">
      <mc:Choice Requires="x14">
        <control shapeId="1035" r:id="rId13" name="Spinner 11">
          <controlPr defaultSize="0" autoPict="0">
            <anchor moveWithCells="1" sizeWithCells="1">
              <from>
                <xdr:col>6</xdr:col>
                <xdr:colOff>85725</xdr:colOff>
                <xdr:row>9</xdr:row>
                <xdr:rowOff>190500</xdr:rowOff>
              </from>
              <to>
                <xdr:col>6</xdr:col>
                <xdr:colOff>381000</xdr:colOff>
                <xdr:row>11</xdr:row>
                <xdr:rowOff>9525</xdr:rowOff>
              </to>
            </anchor>
          </controlPr>
        </control>
      </mc:Choice>
    </mc:AlternateContent>
    <mc:AlternateContent xmlns:mc="http://schemas.openxmlformats.org/markup-compatibility/2006">
      <mc:Choice Requires="x14">
        <control shapeId="1037" r:id="rId14" name="Spinner 13">
          <controlPr defaultSize="0" autoPict="0">
            <anchor moveWithCells="1" sizeWithCells="1">
              <from>
                <xdr:col>9</xdr:col>
                <xdr:colOff>85725</xdr:colOff>
                <xdr:row>9</xdr:row>
                <xdr:rowOff>190500</xdr:rowOff>
              </from>
              <to>
                <xdr:col>9</xdr:col>
                <xdr:colOff>381000</xdr:colOff>
                <xdr:row>11</xdr:row>
                <xdr:rowOff>9525</xdr:rowOff>
              </to>
            </anchor>
          </controlPr>
        </control>
      </mc:Choice>
    </mc:AlternateContent>
    <mc:AlternateContent xmlns:mc="http://schemas.openxmlformats.org/markup-compatibility/2006">
      <mc:Choice Requires="x14">
        <control shapeId="1038" r:id="rId15" name="Option Button 14">
          <controlPr defaultSize="0" autoFill="0" autoLine="0" autoPict="0">
            <anchor moveWithCells="1">
              <from>
                <xdr:col>7</xdr:col>
                <xdr:colOff>57150</xdr:colOff>
                <xdr:row>0</xdr:row>
                <xdr:rowOff>180975</xdr:rowOff>
              </from>
              <to>
                <xdr:col>7</xdr:col>
                <xdr:colOff>352425</xdr:colOff>
                <xdr:row>2</xdr:row>
                <xdr:rowOff>19050</xdr:rowOff>
              </to>
            </anchor>
          </controlPr>
        </control>
      </mc:Choice>
    </mc:AlternateContent>
    <mc:AlternateContent xmlns:mc="http://schemas.openxmlformats.org/markup-compatibility/2006">
      <mc:Choice Requires="x14">
        <control shapeId="1039" r:id="rId16" name="Option Button 15">
          <controlPr defaultSize="0" autoFill="0" autoLine="0" autoPict="0">
            <anchor moveWithCells="1">
              <from>
                <xdr:col>7</xdr:col>
                <xdr:colOff>352425</xdr:colOff>
                <xdr:row>0</xdr:row>
                <xdr:rowOff>180975</xdr:rowOff>
              </from>
              <to>
                <xdr:col>9</xdr:col>
                <xdr:colOff>0</xdr:colOff>
                <xdr:row>2</xdr:row>
                <xdr:rowOff>19050</xdr:rowOff>
              </to>
            </anchor>
          </controlPr>
        </control>
      </mc:Choice>
    </mc:AlternateContent>
    <mc:AlternateContent xmlns:mc="http://schemas.openxmlformats.org/markup-compatibility/2006">
      <mc:Choice Requires="x14">
        <control shapeId="1040" r:id="rId17" name="Option Button 16">
          <controlPr defaultSize="0" autoFill="0" autoLine="0" autoPict="0">
            <anchor moveWithCells="1">
              <from>
                <xdr:col>8</xdr:col>
                <xdr:colOff>266700</xdr:colOff>
                <xdr:row>0</xdr:row>
                <xdr:rowOff>180975</xdr:rowOff>
              </from>
              <to>
                <xdr:col>9</xdr:col>
                <xdr:colOff>295275</xdr:colOff>
                <xdr:row>2</xdr:row>
                <xdr:rowOff>19050</xdr:rowOff>
              </to>
            </anchor>
          </controlPr>
        </control>
      </mc:Choice>
    </mc:AlternateContent>
    <mc:AlternateContent xmlns:mc="http://schemas.openxmlformats.org/markup-compatibility/2006">
      <mc:Choice Requires="x14">
        <control shapeId="1041" r:id="rId18" name="Option Button 17">
          <controlPr defaultSize="0" autoFill="0" autoLine="0" autoPict="0">
            <anchor moveWithCells="1">
              <from>
                <xdr:col>9</xdr:col>
                <xdr:colOff>285750</xdr:colOff>
                <xdr:row>0</xdr:row>
                <xdr:rowOff>180975</xdr:rowOff>
              </from>
              <to>
                <xdr:col>10</xdr:col>
                <xdr:colOff>19050</xdr:colOff>
                <xdr:row>2</xdr:row>
                <xdr:rowOff>19050</xdr:rowOff>
              </to>
            </anchor>
          </controlPr>
        </control>
      </mc:Choice>
    </mc:AlternateContent>
    <mc:AlternateContent xmlns:mc="http://schemas.openxmlformats.org/markup-compatibility/2006">
      <mc:Choice Requires="x14">
        <control shapeId="1042" r:id="rId19" name="Option Button 18">
          <controlPr defaultSize="0" autoFill="0" autoLine="0" autoPict="0">
            <anchor moveWithCells="1">
              <from>
                <xdr:col>9</xdr:col>
                <xdr:colOff>561975</xdr:colOff>
                <xdr:row>0</xdr:row>
                <xdr:rowOff>180975</xdr:rowOff>
              </from>
              <to>
                <xdr:col>11</xdr:col>
                <xdr:colOff>9525</xdr:colOff>
                <xdr:row>2</xdr:row>
                <xdr:rowOff>19050</xdr:rowOff>
              </to>
            </anchor>
          </controlPr>
        </control>
      </mc:Choice>
    </mc:AlternateContent>
    <mc:AlternateContent xmlns:mc="http://schemas.openxmlformats.org/markup-compatibility/2006">
      <mc:Choice Requires="x14">
        <control shapeId="1043" r:id="rId20" name="Spinner 19">
          <controlPr defaultSize="0" autoPict="0">
            <anchor moveWithCells="1" sizeWithCells="1">
              <from>
                <xdr:col>9</xdr:col>
                <xdr:colOff>47625</xdr:colOff>
                <xdr:row>16</xdr:row>
                <xdr:rowOff>9525</xdr:rowOff>
              </from>
              <to>
                <xdr:col>9</xdr:col>
                <xdr:colOff>371475</xdr:colOff>
                <xdr:row>17</xdr:row>
                <xdr:rowOff>0</xdr:rowOff>
              </to>
            </anchor>
          </controlPr>
        </control>
      </mc:Choice>
    </mc:AlternateContent>
    <mc:AlternateContent xmlns:mc="http://schemas.openxmlformats.org/markup-compatibility/2006">
      <mc:Choice Requires="x14">
        <control shapeId="1044" r:id="rId21" name="Spinner 20">
          <controlPr defaultSize="0" autoPict="0">
            <anchor moveWithCells="1" sizeWithCells="1">
              <from>
                <xdr:col>9</xdr:col>
                <xdr:colOff>38100</xdr:colOff>
                <xdr:row>17</xdr:row>
                <xdr:rowOff>19050</xdr:rowOff>
              </from>
              <to>
                <xdr:col>9</xdr:col>
                <xdr:colOff>381000</xdr:colOff>
                <xdr:row>18</xdr:row>
                <xdr:rowOff>0</xdr:rowOff>
              </to>
            </anchor>
          </controlPr>
        </control>
      </mc:Choice>
    </mc:AlternateContent>
    <mc:AlternateContent xmlns:mc="http://schemas.openxmlformats.org/markup-compatibility/2006">
      <mc:Choice Requires="x14">
        <control shapeId="1046" r:id="rId22" name="Check Box 22">
          <controlPr defaultSize="0" autoFill="0" autoLine="0" autoPict="0">
            <anchor moveWithCells="1">
              <from>
                <xdr:col>7</xdr:col>
                <xdr:colOff>371475</xdr:colOff>
                <xdr:row>31</xdr:row>
                <xdr:rowOff>171450</xdr:rowOff>
              </from>
              <to>
                <xdr:col>9</xdr:col>
                <xdr:colOff>19050</xdr:colOff>
                <xdr:row>33</xdr:row>
                <xdr:rowOff>9525</xdr:rowOff>
              </to>
            </anchor>
          </controlPr>
        </control>
      </mc:Choice>
    </mc:AlternateContent>
    <mc:AlternateContent xmlns:mc="http://schemas.openxmlformats.org/markup-compatibility/2006">
      <mc:Choice Requires="x14">
        <control shapeId="2" r:id="rId23" name="Option Button 29">
          <controlPr defaultSize="0" autoFill="0" autoLine="0" autoPict="0">
            <anchor moveWithCells="1">
              <from>
                <xdr:col>6</xdr:col>
                <xdr:colOff>1095375</xdr:colOff>
                <xdr:row>0</xdr:row>
                <xdr:rowOff>180975</xdr:rowOff>
              </from>
              <to>
                <xdr:col>7</xdr:col>
                <xdr:colOff>123825</xdr:colOff>
                <xdr:row>2</xdr:row>
                <xdr:rowOff>19050</xdr:rowOff>
              </to>
            </anchor>
          </controlPr>
        </control>
      </mc:Choice>
    </mc:AlternateContent>
  </controls>
  <extLst>
    <ext xmlns:x14="http://schemas.microsoft.com/office/spreadsheetml/2009/9/main" uri="{78C0D931-6437-407d-A8EE-F0AAD7539E65}">
      <x14:conditionalFormattings>
        <x14:conditionalFormatting xmlns:xm="http://schemas.microsoft.com/office/excel/2006/main">
          <x14:cfRule type="cellIs" priority="1" operator="equal" id="{B6B39378-636C-4E53-9C13-5B98C6B574EB}">
            <xm:f>Language!$G$41</xm:f>
            <x14:dxf>
              <fill>
                <patternFill>
                  <bgColor rgb="FFFF0000"/>
                </patternFill>
              </fill>
            </x14:dxf>
          </x14:cfRule>
          <x14:cfRule type="cellIs" priority="14" operator="equal" id="{46929107-041A-4BD4-8347-2C7885D8280F}">
            <xm:f>Language!$G$40</xm:f>
            <x14:dxf>
              <fill>
                <patternFill>
                  <bgColor rgb="FF92D050"/>
                </patternFill>
              </fill>
            </x14:dxf>
          </x14:cfRule>
          <xm:sqref>G29</xm:sqref>
        </x14:conditionalFormatting>
      </x14:conditionalFormatting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9B58F1-94B2-4CA0-A0FF-6275CB9B949E}">
  <sheetPr codeName="Sheet7">
    <pageSetUpPr fitToPage="1"/>
  </sheetPr>
  <dimension ref="A1:BF254"/>
  <sheetViews>
    <sheetView tabSelected="1" zoomScale="106" zoomScaleNormal="106" workbookViewId="0">
      <selection activeCell="G15" sqref="G15"/>
    </sheetView>
  </sheetViews>
  <sheetFormatPr defaultColWidth="9.140625" defaultRowHeight="15" x14ac:dyDescent="0.25"/>
  <cols>
    <col min="1" max="1" width="1.7109375" style="7" customWidth="1"/>
    <col min="2" max="2" width="20.85546875" style="7" customWidth="1"/>
    <col min="3" max="3" width="7.28515625" style="7" customWidth="1"/>
    <col min="4" max="4" width="8.85546875" style="7" customWidth="1"/>
    <col min="5" max="5" width="6.7109375" style="7" customWidth="1"/>
    <col min="6" max="6" width="3.28515625" style="7" customWidth="1"/>
    <col min="7" max="7" width="19" style="7" customWidth="1"/>
    <col min="8" max="8" width="5.42578125" style="7" customWidth="1"/>
    <col min="9" max="9" width="4.28515625" style="7" customWidth="1"/>
    <col min="10" max="10" width="8.5703125" style="7" customWidth="1"/>
    <col min="11" max="11" width="4.28515625" style="7" customWidth="1"/>
    <col min="12" max="12" width="1.28515625" style="175" customWidth="1"/>
    <col min="13" max="13" width="9.140625" style="175" customWidth="1"/>
    <col min="14" max="15" width="9.140625" style="175"/>
    <col min="16" max="19" width="9.140625" style="43"/>
    <col min="20" max="20" width="9.140625" style="43" customWidth="1"/>
    <col min="21" max="58" width="9.140625" style="43"/>
    <col min="59" max="16384" width="9.140625" style="7"/>
  </cols>
  <sheetData>
    <row r="1" spans="1:29" ht="15" customHeight="1" x14ac:dyDescent="0.25">
      <c r="A1" s="139"/>
      <c r="B1" s="140"/>
      <c r="C1" s="217" t="s">
        <v>481</v>
      </c>
      <c r="D1" s="217"/>
      <c r="E1" s="217"/>
      <c r="F1" s="217"/>
      <c r="G1" s="217"/>
      <c r="H1" s="141"/>
      <c r="I1" s="141"/>
      <c r="J1" s="141"/>
      <c r="K1" s="142"/>
      <c r="M1" s="45" t="str">
        <f>IF(J3=6,INDEX(Language!B4:G41,29,6),IF(J3=5,INDEX(Language!B4:F35,29,1),IF(J3=4,INDEX(Language!B4:F35,29,2),IF(J3=3,INDEX(Language!B4:F35,29,3),IF(J3=2,INDEX(Language!B4:F35,29,4),INDEX(Language!B4:F35,29,5))))))&amp;" 1"</f>
        <v>Input voltage window string 1</v>
      </c>
      <c r="U1" s="45" t="str">
        <f>IF(J3=6,INDEX(Language!B4:G41,29,6),IF(J3=5,INDEX(Language!B4:F35,29,1),IF(J3=4,INDEX(Language!B4:F35,29,2),IF(J3=3,INDEX(Language!B4:F35,29,3),IF(J3=2,INDEX(Language!B4:F35,29,4),INDEX(Language!B4:F35,29,5))))))&amp;" 2"</f>
        <v>Input voltage window string 2</v>
      </c>
      <c r="AC1" s="45" t="str">
        <f>IF(J3=6,INDEX(Language!B4:G41,30,6),IF(J3=5,INDEX(Language!B4:F35,30,1),IF(J3=4,INDEX(Language!B4:F35,30,2),IF(J3=3,INDEX(Language!B4:F35,30,3),IF(J3=2,INDEX(Language!B4:F35,30,4),INDEX(Language!B4:F35,30,5))))))</f>
        <v>Charge current window</v>
      </c>
    </row>
    <row r="2" spans="1:29" ht="15" customHeight="1" x14ac:dyDescent="0.25">
      <c r="A2" s="143"/>
      <c r="B2" s="67"/>
      <c r="C2" s="218"/>
      <c r="D2" s="218"/>
      <c r="E2" s="218"/>
      <c r="F2" s="218"/>
      <c r="G2" s="218"/>
      <c r="H2" s="8"/>
      <c r="I2" s="8"/>
      <c r="J2" s="8"/>
      <c r="K2" s="144"/>
    </row>
    <row r="3" spans="1:29" s="43" customFormat="1" x14ac:dyDescent="0.25">
      <c r="A3" s="145"/>
      <c r="B3" s="9"/>
      <c r="C3" s="9"/>
      <c r="D3" s="9"/>
      <c r="E3" s="9"/>
      <c r="F3" s="9"/>
      <c r="G3" s="9"/>
      <c r="H3" s="9"/>
      <c r="I3" s="9"/>
      <c r="J3" s="129">
        <v>5</v>
      </c>
      <c r="K3" s="146"/>
      <c r="L3" s="175"/>
      <c r="M3" s="175"/>
      <c r="N3" s="175"/>
      <c r="O3" s="175"/>
    </row>
    <row r="4" spans="1:29" s="43" customFormat="1" x14ac:dyDescent="0.25">
      <c r="A4" s="145"/>
      <c r="B4" s="9" t="str">
        <f>IF(J3=6,INDEX(Language!B4:G35,9,6),IF(J3=5,INDEX(Language!B4:F35,9,1),IF(J3=4,INDEX(Language!B4:F35,9,2),IF(J3=3,INDEX(Language!B4:F35,9,3),IF(J3=2,INDEX(Language!B4:F35,9,4),INDEX(Language!B4:F35,9,5))))))</f>
        <v>Controller:</v>
      </c>
      <c r="C4" s="9"/>
      <c r="D4" s="196">
        <v>1</v>
      </c>
      <c r="E4" s="9"/>
      <c r="F4" s="9"/>
      <c r="G4" s="9"/>
      <c r="H4" s="9"/>
      <c r="I4" s="9"/>
      <c r="J4" s="129"/>
      <c r="K4" s="146"/>
      <c r="L4" s="175"/>
      <c r="M4" s="175"/>
      <c r="N4" s="175"/>
      <c r="O4" s="175"/>
    </row>
    <row r="5" spans="1:29" s="43" customFormat="1" x14ac:dyDescent="0.25">
      <c r="A5" s="145"/>
      <c r="B5" s="9"/>
      <c r="C5" s="9"/>
      <c r="D5" s="9"/>
      <c r="E5" s="9"/>
      <c r="F5" s="9"/>
      <c r="G5" s="9"/>
      <c r="H5" s="9"/>
      <c r="I5" s="9"/>
      <c r="J5" s="129"/>
      <c r="K5" s="146"/>
      <c r="L5" s="175"/>
      <c r="M5" s="175"/>
      <c r="N5" s="175"/>
      <c r="O5" s="175"/>
    </row>
    <row r="6" spans="1:29" s="43" customFormat="1" x14ac:dyDescent="0.25">
      <c r="A6" s="145"/>
      <c r="B6" s="9" t="s">
        <v>42</v>
      </c>
      <c r="C6" s="178">
        <v>48</v>
      </c>
      <c r="D6" s="9"/>
      <c r="E6" s="9" t="str">
        <f>IF(J3=6,INDEX(Language!B4:G60,53,6),IF(J3=5,INDEX(Language!B4:G60,53,1),IF(J3=4,INDEX(Language!B4:G60,53,2),IF(J3=3,INDEX(Language!B4:G60,53,3),IF(J3=2,INDEX(Language!B4:G60,53,4),INDEX(Language!B4:G60,53,5))))))</f>
        <v>Battery float voltage</v>
      </c>
      <c r="F6" s="9"/>
      <c r="G6" s="9"/>
      <c r="H6" s="219">
        <f>H7/100</f>
        <v>54</v>
      </c>
      <c r="I6" s="220"/>
      <c r="J6" s="129"/>
      <c r="K6" s="146"/>
      <c r="L6" s="175"/>
      <c r="M6" s="175"/>
      <c r="N6" s="175"/>
      <c r="O6" s="175"/>
    </row>
    <row r="7" spans="1:29" s="43" customFormat="1" x14ac:dyDescent="0.25">
      <c r="A7" s="145"/>
      <c r="B7" s="9"/>
      <c r="C7" s="178"/>
      <c r="D7" s="6"/>
      <c r="E7" s="9"/>
      <c r="F7" s="9"/>
      <c r="G7" s="9"/>
      <c r="H7" s="129">
        <v>5400</v>
      </c>
      <c r="I7" s="9"/>
      <c r="J7" s="129"/>
      <c r="K7" s="146"/>
      <c r="L7" s="175"/>
      <c r="M7" s="175"/>
      <c r="N7" s="175"/>
      <c r="O7" s="175"/>
    </row>
    <row r="8" spans="1:29" s="43" customFormat="1" x14ac:dyDescent="0.25">
      <c r="A8" s="145"/>
      <c r="B8" s="9" t="str">
        <f>IF(J3=6,INDEX(Language!B4:G35,6,6),IF(J3=5,INDEX(Language!B4:F35,6,1),IF(J3=4,INDEX(Language!B4:F35,6,2),IF(J3=3,INDEX(Language!B4:F35,6,3),IF(J3=2,INDEX(Language!B4:F35,6,4),INDEX(Language!B4:F35,6,5))))))</f>
        <v>Module temperature:</v>
      </c>
      <c r="C8" s="127" t="s">
        <v>392</v>
      </c>
      <c r="D8" s="10" t="str">
        <f>IF(J3=6,INDEX(Language!B4:G35,7,6),IF(J3=5,INDEX(Language!B4:F35,7,1),IF(J3=4,INDEX(Language!B4:F35,7,2),IF(J3=3,INDEX(Language!B4:F35,7,3),IF(J3=2,INDEX(Language!B4:F35,7,4),INDEX(Language!B4:F35,7,5))))))</f>
        <v>Min.</v>
      </c>
      <c r="E8" s="172">
        <f>IF(B9=1, F9, ((F9)*9/5)+32)</f>
        <v>-10</v>
      </c>
      <c r="F8" s="126" t="str">
        <f>IF(B9=1, "°C", "°F")</f>
        <v>°C</v>
      </c>
      <c r="G8" s="10" t="str">
        <f>IF(J3=6,INDEX(Language!B4:G35,8,6),IF(J3=5,INDEX(Language!B4:F35,8,1),IF(J3=4,INDEX(Language!B4:F35,8,2),IF(J3=3,INDEX(Language!B4:F35,8,3),IF(J3=2,INDEX(Language!B4:F35,8,4),INDEX(Language!B4:F35,8,5))))))</f>
        <v xml:space="preserve">Max. </v>
      </c>
      <c r="H8" s="172">
        <f>IF(B9=1, H9, (H9*9/5)+32)</f>
        <v>70</v>
      </c>
      <c r="I8" s="128" t="str">
        <f>IF(B9=1, "°C", "°F")</f>
        <v>°C</v>
      </c>
      <c r="J8" s="9"/>
      <c r="K8" s="147"/>
      <c r="L8" s="175"/>
      <c r="M8" s="175"/>
      <c r="N8" s="175"/>
      <c r="O8" s="175"/>
    </row>
    <row r="9" spans="1:29" s="43" customFormat="1" x14ac:dyDescent="0.25">
      <c r="A9" s="145"/>
      <c r="B9" s="129">
        <v>1</v>
      </c>
      <c r="C9" s="127" t="s">
        <v>393</v>
      </c>
      <c r="D9" s="9"/>
      <c r="E9" s="129">
        <v>30</v>
      </c>
      <c r="F9" s="131">
        <f>E9-40</f>
        <v>-10</v>
      </c>
      <c r="G9" s="9"/>
      <c r="H9" s="129">
        <v>70</v>
      </c>
      <c r="I9" s="9"/>
      <c r="J9" s="9"/>
      <c r="K9" s="147"/>
      <c r="L9" s="175"/>
      <c r="M9" s="175"/>
      <c r="N9" s="175"/>
      <c r="O9" s="175"/>
    </row>
    <row r="10" spans="1:29" s="43" customFormat="1" x14ac:dyDescent="0.25">
      <c r="A10" s="145"/>
      <c r="B10" s="188" t="str">
        <f>IF(J3=6,INDEX(Language!B4:G35,4,6),IF(J3=5,INDEX(Language!B4:F35,4,1),IF(J3=4,INDEX(Language!B4:F35,4,2),IF(J3=3,INDEX(Language!B4:F35,4,3),IF(J3=2,INDEX(Language!B4:F35,4,4),INDEX(Language!B4:F35,4,5))))))</f>
        <v>Total PV power @STC:</v>
      </c>
      <c r="C10" s="127"/>
      <c r="D10" s="9">
        <f>'Calculation table RS'!C16+'Calculation table RS'!P16</f>
        <v>5160</v>
      </c>
      <c r="E10" s="188" t="str">
        <f>IF(J3=6,INDEX(Language!B4:G35,5,6),IF(J3=5,INDEX(Language!B4:F35,5,1),IF(J3=4,INDEX(Language!B4:F35,5,2),IF(J3=3,INDEX(Language!B4:F35,5,3),IF(J3=2,INDEX(Language!B4:F35,5,4),INDEX(Language!B4:F35,5,5))))))</f>
        <v>Wp</v>
      </c>
      <c r="F10" s="131"/>
      <c r="G10" s="9"/>
      <c r="H10" s="129"/>
      <c r="I10" s="9"/>
      <c r="J10" s="9"/>
      <c r="K10" s="147"/>
      <c r="L10" s="175"/>
      <c r="M10" s="175"/>
      <c r="N10" s="175"/>
      <c r="O10" s="175"/>
    </row>
    <row r="11" spans="1:29" s="43" customFormat="1" x14ac:dyDescent="0.25">
      <c r="A11" s="145"/>
      <c r="B11" s="203" t="str">
        <f>IF('Calculation table RS'!C63&gt;1.3,IF(J3=6,INDEX(Language!B4:G51,39,6),IF(J3=5,INDEX(Language!B4:F42,39,1),IF(J3=4,INDEX(Language!B4:F42,39,2),IF(J3=3,INDEX(Language!B4:F42,39,3),IF(J3=2,INDEX(Language!B4:F42,39,4),INDEX(Language!B4:F42,39,5)))))),"")</f>
        <v/>
      </c>
      <c r="C11" s="184"/>
      <c r="D11" s="12"/>
      <c r="E11" s="183"/>
      <c r="F11" s="185"/>
      <c r="G11" s="12"/>
      <c r="H11" s="183"/>
      <c r="I11" s="12"/>
      <c r="J11" s="12"/>
      <c r="K11" s="181"/>
      <c r="L11" s="175"/>
      <c r="M11" s="175"/>
      <c r="N11" s="175"/>
      <c r="O11" s="175"/>
    </row>
    <row r="12" spans="1:29" s="43" customFormat="1" x14ac:dyDescent="0.25">
      <c r="A12" s="145"/>
      <c r="B12" s="179" t="s">
        <v>485</v>
      </c>
      <c r="C12" s="9"/>
      <c r="D12" s="9"/>
      <c r="E12" s="9"/>
      <c r="F12" s="9"/>
      <c r="G12" s="9"/>
      <c r="H12" s="9"/>
      <c r="I12" s="9"/>
      <c r="J12" s="129"/>
      <c r="K12" s="146"/>
      <c r="L12" s="175"/>
      <c r="M12" s="175"/>
      <c r="N12" s="175"/>
      <c r="O12" s="175"/>
    </row>
    <row r="13" spans="1:29" s="43" customFormat="1" ht="15.75" customHeight="1" x14ac:dyDescent="0.25">
      <c r="A13" s="145"/>
      <c r="B13" s="9" t="str">
        <f>IF(J3=6,INDEX(Language!B4:G35,1,6),IF(J3=5,INDEX(Language!B4:G35,1,1),IF(J3=4,INDEX(Language!B4:G35,1,2),IF(J3=3,INDEX(Language!B4:G35,1,3),IF(J3=2,INDEX(Language!B4:G35,1,4),INDEX(Language!B4:G35,1,5))))))</f>
        <v>Module:</v>
      </c>
      <c r="C13" s="9"/>
      <c r="D13" s="196">
        <v>9</v>
      </c>
      <c r="E13" s="9"/>
      <c r="F13" s="9"/>
      <c r="G13" s="9"/>
      <c r="H13" s="9"/>
      <c r="I13" s="9"/>
      <c r="J13" s="9"/>
      <c r="K13" s="147"/>
      <c r="L13" s="175"/>
      <c r="M13" s="175"/>
      <c r="N13" s="175"/>
      <c r="O13" s="175"/>
    </row>
    <row r="14" spans="1:29" s="43" customFormat="1" ht="15" customHeight="1" x14ac:dyDescent="0.25">
      <c r="A14" s="145"/>
      <c r="B14" s="9"/>
      <c r="C14" s="9"/>
      <c r="D14" s="9"/>
      <c r="E14" s="9"/>
      <c r="F14" s="9"/>
      <c r="G14" s="9"/>
      <c r="H14" s="9"/>
      <c r="I14" s="9"/>
      <c r="J14" s="9"/>
      <c r="K14" s="147"/>
      <c r="L14" s="175"/>
      <c r="M14" s="175"/>
      <c r="N14" s="175"/>
      <c r="O14" s="175"/>
    </row>
    <row r="15" spans="1:29" s="43" customFormat="1" x14ac:dyDescent="0.25">
      <c r="A15" s="145"/>
      <c r="B15" s="10"/>
      <c r="C15" s="10" t="str">
        <f>IF(J3=6,INDEX(Language!B4:G35,2,6),IF(J3=5,INDEX(Language!B4:F35,2,1),IF(J3=4,INDEX(Language!B4:F35,2,2),IF(J3=3,INDEX(Language!B4:F35,2,3),IF(J3=2,INDEX(Language!B4:F35,2,4),INDEX(Language!B4:F35,2,5))))))</f>
        <v>In series:</v>
      </c>
      <c r="D15" s="5">
        <f>IF(D13=1,"-",D16)</f>
        <v>8</v>
      </c>
      <c r="E15" s="9"/>
      <c r="F15" s="9"/>
      <c r="G15" s="10" t="str">
        <f>IF(J3=6,INDEX(Language!B4:G35,3,6),IF(J3=5,INDEX(Language!B4:F35,3,1),IF(J3=4,INDEX(Language!B4:F35,3,2),IF(J3=3,INDEX(Language!B4:F35,3,3),IF(J3=2,INDEX(Language!B4:F35,3,4),INDEX(Language!B4:F35,3,5))))))</f>
        <v>Parallel:</v>
      </c>
      <c r="H15" s="208">
        <f>IF(D13=1,"-",H16)</f>
        <v>2</v>
      </c>
      <c r="I15" s="209"/>
      <c r="J15" s="9"/>
      <c r="K15" s="147"/>
      <c r="L15" s="175"/>
      <c r="M15" s="175"/>
      <c r="N15" s="175"/>
      <c r="O15" s="175"/>
    </row>
    <row r="16" spans="1:29" s="43" customFormat="1" ht="15" customHeight="1" x14ac:dyDescent="0.25">
      <c r="A16" s="145"/>
      <c r="B16" s="9"/>
      <c r="C16" s="9"/>
      <c r="D16" s="129">
        <v>8</v>
      </c>
      <c r="E16" s="9"/>
      <c r="F16" s="9"/>
      <c r="G16" s="9"/>
      <c r="H16" s="129">
        <v>2</v>
      </c>
      <c r="I16" s="9"/>
      <c r="J16" s="9"/>
      <c r="K16" s="147"/>
      <c r="L16" s="175"/>
      <c r="M16" s="175"/>
      <c r="N16" s="175"/>
      <c r="O16" s="175"/>
    </row>
    <row r="17" spans="1:15" s="43" customFormat="1" x14ac:dyDescent="0.25">
      <c r="A17" s="145"/>
      <c r="B17" s="9" t="str">
        <f>IF(J3=6,INDEX(Language!B4:G35,31,6),IF(J3=5,INDEX(Language!B4:F35,31,1),IF(J3=4,INDEX(Language!B4:F35,31,2),IF(J3=3,INDEX(Language!B4:F35,31,3),IF(J3=2,INDEX(Language!B4:F35,31,4),INDEX(Language!B4:F35,31,5))))))</f>
        <v>Cable length, Module to MPPT *</v>
      </c>
      <c r="C17" s="9"/>
      <c r="D17" s="9"/>
      <c r="E17" s="9"/>
      <c r="F17" s="9"/>
      <c r="G17" s="9"/>
      <c r="H17" s="206">
        <v>10</v>
      </c>
      <c r="I17" s="207"/>
      <c r="J17" s="9"/>
      <c r="K17" s="147"/>
      <c r="L17" s="175"/>
      <c r="M17" s="175"/>
      <c r="N17" s="175"/>
      <c r="O17" s="175"/>
    </row>
    <row r="18" spans="1:15" s="43" customFormat="1" ht="15" customHeight="1" x14ac:dyDescent="0.25">
      <c r="A18" s="145"/>
      <c r="B18" s="9" t="str">
        <f>IF(J3=6,INDEX(Language!B4:G35,32,6),IF(J3=5,INDEX(Language!B4:F35,32,1),IF(J3=4,INDEX(Language!B4:F35,32,2),IF(J3=3,INDEX(Language!B4:F35,32,3),IF(J3=2,INDEX(Language!B4:F35,32,4),INDEX(Language!B4:F35,32,5))))))</f>
        <v>Cross-section:</v>
      </c>
      <c r="C18" s="9"/>
      <c r="D18" s="9"/>
      <c r="E18" s="9"/>
      <c r="F18" s="9"/>
      <c r="G18" s="9"/>
      <c r="H18" s="215">
        <f>INDEX(O59:O65,K18,1)</f>
        <v>6</v>
      </c>
      <c r="I18" s="216"/>
      <c r="J18" s="9"/>
      <c r="K18" s="146">
        <v>3</v>
      </c>
      <c r="L18" s="175"/>
      <c r="M18" s="175"/>
      <c r="N18" s="175"/>
      <c r="O18" s="175"/>
    </row>
    <row r="19" spans="1:15" s="43" customFormat="1" ht="15" customHeight="1" x14ac:dyDescent="0.25">
      <c r="A19" s="145"/>
      <c r="B19" s="189" t="str">
        <f>IF(J3=6,INDEX(Language!B4:G36,33,6),IF(J3=5,INDEX(Language!B4:F36,33,1),IF(J3=4,INDEX(Language!B4:F36,33,2),IF(J3=3,INDEX(Language!B4:F36,33,3),IF(J3=2,INDEX(Language!B4:F36,33,4),INDEX(Language!B4:F36,33,5))))))</f>
        <v>* One way length</v>
      </c>
      <c r="C19" s="9"/>
      <c r="D19" s="9"/>
      <c r="E19" s="9"/>
      <c r="F19" s="9"/>
      <c r="G19" s="9"/>
      <c r="H19" s="9"/>
      <c r="I19" s="9"/>
      <c r="J19" s="9"/>
      <c r="K19" s="147"/>
      <c r="L19" s="175"/>
      <c r="M19" s="175"/>
      <c r="N19" s="175"/>
      <c r="O19" s="175"/>
    </row>
    <row r="20" spans="1:15" s="43" customFormat="1" ht="15" customHeight="1" x14ac:dyDescent="0.25">
      <c r="A20" s="145"/>
      <c r="B20" s="9"/>
      <c r="C20" s="9"/>
      <c r="D20" s="9"/>
      <c r="E20" s="9"/>
      <c r="F20" s="9"/>
      <c r="G20" s="9"/>
      <c r="H20" s="9"/>
      <c r="I20" s="9"/>
      <c r="J20" s="9"/>
      <c r="K20" s="147"/>
      <c r="L20" s="175"/>
      <c r="M20" s="175"/>
      <c r="N20" s="175"/>
      <c r="O20" s="175"/>
    </row>
    <row r="21" spans="1:15" s="43" customFormat="1" x14ac:dyDescent="0.25">
      <c r="A21" s="145"/>
      <c r="B21" s="9" t="str">
        <f>IF(J3=6,INDEX(Language!B4:G36,11,6),IF(J3=5,INDEX(Language!B4:F35,11,1),IF(J3=4,INDEX(Language!B4:F35,11,2),IF(J3=3,INDEX(Language!B4:F35,11,3),IF(J3=2,INDEX(Language!B4:F35,11,4),INDEX(Language!B4:F35,11,5))))))</f>
        <v>Max. input voltage</v>
      </c>
      <c r="C21" s="9"/>
      <c r="D21" s="9"/>
      <c r="E21" s="9"/>
      <c r="F21" s="9"/>
      <c r="G21" s="180">
        <f>'Calculation table RS'!C18</f>
        <v>432</v>
      </c>
      <c r="H21" s="9"/>
      <c r="I21" s="9"/>
      <c r="J21" s="9"/>
      <c r="K21" s="147"/>
      <c r="L21" s="175"/>
      <c r="M21" s="175"/>
      <c r="O21" s="175"/>
    </row>
    <row r="22" spans="1:15" s="43" customFormat="1" x14ac:dyDescent="0.25">
      <c r="A22" s="145"/>
      <c r="B22" s="9" t="str">
        <f>IF(J3=6,INDEX(Language!B4:G36,12,6),IF(J3=5,INDEX(Language!B4:F35,12,1),IF(J3=4,INDEX(Language!B4:F35,12,2),IF(J3=3,INDEX(Language!B4:F35,12,3),IF(J3=2,INDEX(Language!B4:F35,12,4),INDEX(Language!B4:F35,12,5))))))</f>
        <v>Max. PV voltage @ min. temperature</v>
      </c>
      <c r="C22" s="9"/>
      <c r="D22" s="9"/>
      <c r="E22" s="9"/>
      <c r="F22" s="9"/>
      <c r="G22" s="35">
        <f>IF(D13=1,0,'Calculation table RS'!F30)</f>
        <v>411.46359999999999</v>
      </c>
      <c r="H22" s="9"/>
      <c r="I22" s="9"/>
      <c r="J22" s="132"/>
      <c r="K22" s="150"/>
      <c r="L22" s="175"/>
      <c r="M22" s="176"/>
      <c r="O22" s="175"/>
    </row>
    <row r="23" spans="1:15" s="43" customFormat="1" x14ac:dyDescent="0.25">
      <c r="A23" s="145"/>
      <c r="B23" s="9" t="str">
        <f>IF(J3=6,INDEX(Language!B4:G36,13,6),IF(J3=5,INDEX(Language!B4:F35,13,1),IF(J3=4,INDEX(Language!B4:F35,13,2),IF(J3=3,INDEX(Language!B4:F35,13,3),IF(J3=2,INDEX(Language!B4:F35,13,4),INDEX(Language!B4:F35,13,5))))))</f>
        <v>Min. input voltage @ MPP</v>
      </c>
      <c r="C23" s="9"/>
      <c r="D23" s="9"/>
      <c r="E23" s="9"/>
      <c r="F23" s="9"/>
      <c r="G23" s="35">
        <f>'Calculation table RS'!C20</f>
        <v>80</v>
      </c>
      <c r="H23" s="9"/>
      <c r="I23" s="9"/>
      <c r="J23" s="132"/>
      <c r="K23" s="150"/>
      <c r="L23" s="175"/>
      <c r="M23" s="176"/>
      <c r="O23" s="175"/>
    </row>
    <row r="24" spans="1:15" s="43" customFormat="1" x14ac:dyDescent="0.25">
      <c r="A24" s="145"/>
      <c r="B24" s="9" t="str">
        <f>IF(J3=6,INDEX(Language!B4:G36,14,6),IF(J3=5,INDEX(Language!B4:F35,14,1),IF(J3=4,INDEX(Language!B4:F35,14,2),IF(J3=3,INDEX(Language!B4:F35,14,3),IF(J3=2,INDEX(Language!B4:F35,14,4),INDEX(Language!B4:F35,14,5))))))</f>
        <v>Min. PV voltage @ max. temperature</v>
      </c>
      <c r="C24" s="9"/>
      <c r="D24" s="9"/>
      <c r="E24" s="9"/>
      <c r="F24" s="9"/>
      <c r="G24" s="35">
        <f>IF(D13=1,0,'Calculation table RS'!K37)</f>
        <v>240.77100986666665</v>
      </c>
      <c r="H24" s="9"/>
      <c r="I24" s="9"/>
      <c r="J24" s="9"/>
      <c r="K24" s="147"/>
      <c r="L24" s="175"/>
      <c r="M24" s="176"/>
      <c r="O24" s="175"/>
    </row>
    <row r="25" spans="1:15" s="43" customFormat="1" x14ac:dyDescent="0.25">
      <c r="A25" s="145"/>
      <c r="B25" s="118" t="str">
        <f>IF(G25="N.A.","",IF('Calculation table RS'!E50=TRUE,IF(J3=6,INDEX(Language!B4:G52,49,6),IF(J3=5,INDEX(Language!B4:F52,49,1),IF(J3=4,INDEX(Language!B4:F52,49,2),IF(J3=3,INDEX(Language!B4:F52,49,3),IF(J3=2,INDEX(Language!B4:F52,49,4),INDEX(Language!B4:F52,49,5)))))),""))</f>
        <v/>
      </c>
      <c r="C25" s="9"/>
      <c r="D25" s="9"/>
      <c r="E25" s="9"/>
      <c r="F25" s="9"/>
      <c r="G25" s="9"/>
      <c r="H25" s="9"/>
      <c r="I25" s="9"/>
      <c r="J25" s="9"/>
      <c r="K25" s="147"/>
      <c r="L25" s="175"/>
      <c r="M25" s="176"/>
      <c r="O25" s="175"/>
    </row>
    <row r="26" spans="1:15" s="43" customFormat="1" x14ac:dyDescent="0.25">
      <c r="A26" s="145"/>
      <c r="B26" s="202" t="str">
        <f>IF(J3=6,INDEX(Language!B4:G63,55,6),IF(J3=5,INDEX(Language!B4:G63,55,1),IF(J3=4,INDEX(Language!B4:G63,55,2),IF(J3=3,INDEX(Language!B4:G63,55,3),IF(J3=2,INDEX(Language!B4:G63,55,4),INDEX(Language!B4:G63,55,5))))))</f>
        <v>PV string power @STC</v>
      </c>
      <c r="C26" s="9"/>
      <c r="D26" s="200">
        <f>'Calculation table RS'!C16</f>
        <v>3440</v>
      </c>
      <c r="E26" s="9" t="str">
        <f>IF(J3=6,INDEX(Language!B4:G35,5,6),IF(J3=5,INDEX(Language!B4:F35,5,1),IF(J3=4,INDEX(Language!B4:F35,5,2),IF(J3=3,INDEX(Language!B4:F35,5,3),IF(J3=2,INDEX(Language!B4:F35,5,4),INDEX(Language!B4:F35,5,5))))))</f>
        <v>Wp</v>
      </c>
      <c r="F26" s="9"/>
      <c r="G26" s="201"/>
      <c r="H26" s="201"/>
      <c r="I26" s="9"/>
      <c r="J26" s="9"/>
      <c r="K26" s="147"/>
      <c r="L26" s="175"/>
      <c r="M26" s="176"/>
      <c r="O26" s="175"/>
    </row>
    <row r="27" spans="1:15" s="43" customFormat="1" x14ac:dyDescent="0.25">
      <c r="A27" s="145"/>
      <c r="B27" s="118" t="str">
        <f>IF(D26&gt;4000,IF(J3=6,INDEX(Language!B4:G63,54,6),IF(J3=5,INDEX(Language!B4:G63,54,1),IF(J3=4,INDEX(Language!B4:G63,54,2),IF(J3=3,INDEX(Language!B4:G63,54,3),IF(J3=2,INDEX(Language!B4:G63,54,4),INDEX(Language!B4:G63,54,5)))))),"")</f>
        <v/>
      </c>
      <c r="C27" s="9"/>
      <c r="D27" s="9"/>
      <c r="E27" s="9"/>
      <c r="F27" s="9"/>
      <c r="G27" s="9"/>
      <c r="H27" s="9"/>
      <c r="I27" s="9"/>
      <c r="J27" s="9"/>
      <c r="K27" s="147"/>
      <c r="L27" s="175"/>
      <c r="M27" s="176"/>
      <c r="O27" s="175"/>
    </row>
    <row r="28" spans="1:15" s="43" customFormat="1" x14ac:dyDescent="0.25">
      <c r="A28" s="145"/>
      <c r="B28" s="12" t="str">
        <f>IF(J3=6,INDEX(Language!B4:G36,18,6),IF(J3=5,INDEX(Language!B4:F35,18,1),IF(J3=4,INDEX(Language!B4:F35,18,2),IF(J3=3,INDEX(Language!B4:F35,18,3),IF(J3=2,INDEX(Language!B4:F35,18,4),INDEX(Language!B4:F35,18,5))))))</f>
        <v>Solar module configuration</v>
      </c>
      <c r="C28" s="12"/>
      <c r="D28" s="186"/>
      <c r="E28" s="193" t="b">
        <f>IF(D13=1,TRUE,IF('Calculation table RS'!E50=FALSE,IF(G22&lt;=G21,IF(G24&gt;G23,TRUE,FALSE),FALSE),FALSE))</f>
        <v>1</v>
      </c>
      <c r="F28" s="187"/>
      <c r="G28" s="194" t="str">
        <f>IF(E28=TRUE,H52,J52)</f>
        <v>Accepted</v>
      </c>
      <c r="H28" s="193" t="str">
        <f>IF(J3=6,INDEX(Language!B4:G40,37,6),IF(J3=5,INDEX(Language!B4:F40,37,1),IF(J3=4,INDEX(Language!B4:F40,37,2),IF(J3=3,INDEX(Language!B4:F40,37,3),IF(J3=2,INDEX(Language!B4:F40,37,4),INDEX(Language!B4:F40,37,5))))))</f>
        <v>Accepted</v>
      </c>
      <c r="I28" s="12"/>
      <c r="J28" s="12"/>
      <c r="K28" s="181"/>
      <c r="L28" s="175"/>
      <c r="M28" s="176"/>
      <c r="O28" s="175"/>
    </row>
    <row r="29" spans="1:15" s="43" customFormat="1" x14ac:dyDescent="0.25">
      <c r="A29" s="145"/>
      <c r="B29" s="179" t="s">
        <v>487</v>
      </c>
      <c r="C29" s="9"/>
      <c r="D29" s="9"/>
      <c r="E29" s="13"/>
      <c r="F29" s="13"/>
      <c r="G29" s="9"/>
      <c r="H29" s="9"/>
      <c r="I29" s="9"/>
      <c r="J29" s="9"/>
      <c r="K29" s="147"/>
      <c r="L29" s="175"/>
      <c r="M29" s="176"/>
      <c r="O29" s="175"/>
    </row>
    <row r="30" spans="1:15" s="43" customFormat="1" x14ac:dyDescent="0.25">
      <c r="A30" s="145"/>
      <c r="B30" s="9" t="str">
        <f>IF(J3=6,INDEX(Language!B4:G35,1,6),IF(J3=5,INDEX(Language!B4:G35,1,1),IF(J3=4,INDEX(Language!B4:G35,1,2),IF(J3=3,INDEX(Language!B4:G35,1,3),IF(J3=2,INDEX(Language!B4:G35,1,4),INDEX(Language!B4:G35,1,5))))))</f>
        <v>Module:</v>
      </c>
      <c r="C30" s="9"/>
      <c r="D30" s="196">
        <v>9</v>
      </c>
      <c r="E30" s="13"/>
      <c r="F30" s="13"/>
      <c r="G30" s="9"/>
      <c r="H30" s="9"/>
      <c r="I30" s="9"/>
      <c r="J30" s="9"/>
      <c r="K30" s="147"/>
      <c r="L30" s="175"/>
      <c r="M30" s="176"/>
      <c r="O30" s="175"/>
    </row>
    <row r="31" spans="1:15" s="43" customFormat="1" x14ac:dyDescent="0.25">
      <c r="A31" s="145"/>
      <c r="B31" s="9"/>
      <c r="C31" s="9"/>
      <c r="D31" s="9"/>
      <c r="E31" s="13"/>
      <c r="F31" s="13"/>
      <c r="G31" s="9"/>
      <c r="H31" s="9"/>
      <c r="I31" s="9"/>
      <c r="J31" s="9"/>
      <c r="K31" s="147"/>
      <c r="L31" s="175"/>
      <c r="M31" s="176"/>
      <c r="O31" s="175"/>
    </row>
    <row r="32" spans="1:15" s="43" customFormat="1" x14ac:dyDescent="0.25">
      <c r="A32" s="145"/>
      <c r="B32" s="9"/>
      <c r="C32" s="10" t="str">
        <f>IF(J3=6,INDEX(Language!B4:G35,2,6),IF(J3=5,INDEX(Language!B4:F35,2,1),IF(J3=4,INDEX(Language!B4:F35,2,2),IF(J3=3,INDEX(Language!B4:F35,2,3),IF(J3=2,INDEX(Language!B4:F35,2,4),INDEX(Language!B4:F35,2,5))))))</f>
        <v>In series:</v>
      </c>
      <c r="D32" s="5">
        <f>IF(D30=1,"-",D33)</f>
        <v>8</v>
      </c>
      <c r="E32" s="13"/>
      <c r="F32" s="13"/>
      <c r="G32" s="10" t="str">
        <f>IF(J3=6,INDEX(Language!B4:G35,3,6),IF(J3=5,INDEX(Language!B4:F35,3,1),IF(J3=4,INDEX(Language!B4:F35,3,2),IF(J3=3,INDEX(Language!B4:F35,3,3),IF(J3=2,INDEX(Language!B4:F35,3,4),INDEX(Language!B4:F35,3,5))))))</f>
        <v>Parallel:</v>
      </c>
      <c r="H32" s="208">
        <f>IF(D30=1,"-",H33)</f>
        <v>1</v>
      </c>
      <c r="I32" s="209"/>
      <c r="J32" s="9"/>
      <c r="K32" s="147"/>
      <c r="L32" s="175"/>
      <c r="M32" s="176"/>
      <c r="O32" s="175"/>
    </row>
    <row r="33" spans="1:15" s="43" customFormat="1" x14ac:dyDescent="0.25">
      <c r="A33" s="145"/>
      <c r="B33" s="9"/>
      <c r="C33" s="9"/>
      <c r="D33" s="129">
        <v>8</v>
      </c>
      <c r="E33" s="13"/>
      <c r="F33" s="13"/>
      <c r="G33" s="9"/>
      <c r="H33" s="129">
        <v>1</v>
      </c>
      <c r="I33" s="9"/>
      <c r="J33" s="9"/>
      <c r="K33" s="147"/>
      <c r="L33" s="175"/>
      <c r="M33" s="176"/>
      <c r="O33" s="175"/>
    </row>
    <row r="34" spans="1:15" s="43" customFormat="1" x14ac:dyDescent="0.25">
      <c r="A34" s="145"/>
      <c r="B34" s="9" t="str">
        <f>IF(J3=6,INDEX(Language!B4:G35,31,6),IF(J3=5,INDEX(Language!B4:F35,31,1),IF(J3=4,INDEX(Language!B4:F35,31,2),IF(J3=3,INDEX(Language!B4:F35,31,3),IF(J3=2,INDEX(Language!B4:F35,31,4),INDEX(Language!B4:F35,31,5))))))</f>
        <v>Cable length, Module to MPPT *</v>
      </c>
      <c r="C34" s="9"/>
      <c r="D34" s="9"/>
      <c r="E34" s="13"/>
      <c r="F34" s="13"/>
      <c r="G34" s="9"/>
      <c r="H34" s="206">
        <v>10</v>
      </c>
      <c r="I34" s="207"/>
      <c r="J34" s="9"/>
      <c r="K34" s="147"/>
      <c r="L34" s="175"/>
      <c r="M34" s="176"/>
      <c r="O34" s="175"/>
    </row>
    <row r="35" spans="1:15" s="43" customFormat="1" x14ac:dyDescent="0.25">
      <c r="A35" s="145"/>
      <c r="B35" s="9" t="str">
        <f>IF(J3=6,INDEX(Language!B4:G35,32,6),IF(J3=5,INDEX(Language!B4:F35,32,1),IF(J3=4,INDEX(Language!B4:F35,32,2),IF(J3=3,INDEX(Language!B4:F35,32,3),IF(J3=2,INDEX(Language!B4:F35,32,4),INDEX(Language!B4:F35,32,5))))))</f>
        <v>Cross-section:</v>
      </c>
      <c r="C35" s="71"/>
      <c r="D35" s="9"/>
      <c r="E35" s="171"/>
      <c r="F35" s="171"/>
      <c r="G35" s="10"/>
      <c r="H35" s="215">
        <f>INDEX(O59:O65,K35,1)</f>
        <v>6</v>
      </c>
      <c r="I35" s="216"/>
      <c r="J35" s="130">
        <v>5</v>
      </c>
      <c r="K35" s="148">
        <v>3</v>
      </c>
      <c r="L35" s="175"/>
      <c r="M35" s="176"/>
      <c r="O35" s="175"/>
    </row>
    <row r="36" spans="1:15" s="43" customFormat="1" x14ac:dyDescent="0.25">
      <c r="A36" s="145"/>
      <c r="B36" s="189" t="str">
        <f>IF(J3=6,INDEX(Language!B4:G36,33,6),IF(J3=5,INDEX(Language!B4:F36,33,1),IF(J3=4,INDEX(Language!B4:F36,33,2),IF(J3=3,INDEX(Language!B4:F36,33,3),IF(J3=2,INDEX(Language!B4:F36,33,4),INDEX(Language!B4:F36,33,5))))))</f>
        <v>* One way length</v>
      </c>
      <c r="C36" s="71"/>
      <c r="D36" s="9"/>
      <c r="E36" s="182"/>
      <c r="F36" s="182"/>
      <c r="G36" s="10"/>
      <c r="H36" s="9"/>
      <c r="I36" s="9"/>
      <c r="J36" s="130"/>
      <c r="K36" s="148"/>
      <c r="L36" s="175"/>
      <c r="M36" s="176"/>
      <c r="N36" s="175"/>
      <c r="O36" s="175"/>
    </row>
    <row r="37" spans="1:15" s="43" customFormat="1" x14ac:dyDescent="0.25">
      <c r="A37" s="145"/>
      <c r="B37" s="9"/>
      <c r="C37" s="71"/>
      <c r="D37" s="9"/>
      <c r="E37" s="182"/>
      <c r="F37" s="182"/>
      <c r="G37" s="10"/>
      <c r="H37" s="9"/>
      <c r="I37" s="9"/>
      <c r="J37" s="130"/>
      <c r="K37" s="148"/>
      <c r="L37" s="175"/>
      <c r="M37" s="176"/>
      <c r="N37" s="175"/>
      <c r="O37" s="175"/>
    </row>
    <row r="38" spans="1:15" s="43" customFormat="1" x14ac:dyDescent="0.25">
      <c r="A38" s="145"/>
      <c r="B38" s="9" t="str">
        <f>IF(J3=6,INDEX(Language!B4:G36,11,6),IF(J3=5,INDEX(Language!B4:F35,11,1),IF(J3=4,INDEX(Language!B4:F35,11,2),IF(J3=3,INDEX(Language!B4:F35,11,3),IF(J3=2,INDEX(Language!B4:F35,11,4),INDEX(Language!B4:F35,11,5))))))</f>
        <v>Max. input voltage</v>
      </c>
      <c r="C38" s="9"/>
      <c r="D38" s="9"/>
      <c r="E38" s="9"/>
      <c r="F38" s="9"/>
      <c r="G38" s="180">
        <f>'Calculation table RS'!P18</f>
        <v>432</v>
      </c>
      <c r="H38" s="9"/>
      <c r="I38" s="9"/>
      <c r="J38" s="9"/>
      <c r="K38" s="147"/>
      <c r="L38" s="175"/>
      <c r="M38" s="175"/>
      <c r="N38" s="175"/>
      <c r="O38" s="175"/>
    </row>
    <row r="39" spans="1:15" s="43" customFormat="1" x14ac:dyDescent="0.25">
      <c r="A39" s="145"/>
      <c r="B39" s="9" t="str">
        <f>IF(J3=6,INDEX(Language!B4:G36,12,6),IF(J3=5,INDEX(Language!B4:F35,12,1),IF(J3=4,INDEX(Language!B4:F35,12,2),IF(J3=3,INDEX(Language!B4:F35,12,3),IF(J3=2,INDEX(Language!B4:F35,12,4),INDEX(Language!B4:F35,12,5))))))</f>
        <v>Max. PV voltage @ min. temperature</v>
      </c>
      <c r="C39" s="9"/>
      <c r="D39" s="9"/>
      <c r="E39" s="9"/>
      <c r="F39" s="9"/>
      <c r="G39" s="35">
        <f>IF(D30=1,0,'Calculation table RS'!S30)</f>
        <v>411.46359999999999</v>
      </c>
      <c r="H39" s="9"/>
      <c r="I39" s="9"/>
      <c r="J39" s="9"/>
      <c r="K39" s="147"/>
      <c r="L39" s="175"/>
      <c r="M39" s="175"/>
      <c r="N39" s="175"/>
      <c r="O39" s="175"/>
    </row>
    <row r="40" spans="1:15" s="43" customFormat="1" x14ac:dyDescent="0.25">
      <c r="A40" s="145"/>
      <c r="B40" s="9" t="str">
        <f>IF(J3=6,INDEX(Language!B4:G36,13,6),IF(J3=5,INDEX(Language!B4:F35,13,1),IF(J3=4,INDEX(Language!B4:F35,13,2),IF(J3=3,INDEX(Language!B4:F35,13,3),IF(J3=2,INDEX(Language!B4:F35,13,4),INDEX(Language!B4:F35,13,5))))))</f>
        <v>Min. input voltage @ MPP</v>
      </c>
      <c r="C40" s="9"/>
      <c r="D40" s="9"/>
      <c r="E40" s="9"/>
      <c r="F40" s="9"/>
      <c r="G40" s="35">
        <f>'Calculation table RS'!P20</f>
        <v>80</v>
      </c>
      <c r="H40" s="9"/>
      <c r="I40" s="9"/>
      <c r="J40" s="132"/>
      <c r="K40" s="150"/>
      <c r="L40" s="175"/>
      <c r="M40" s="175"/>
      <c r="N40" s="175"/>
      <c r="O40" s="175"/>
    </row>
    <row r="41" spans="1:15" s="43" customFormat="1" x14ac:dyDescent="0.25">
      <c r="A41" s="145"/>
      <c r="B41" s="9" t="str">
        <f>IF(J3=6,INDEX(Language!B4:G36,14,6),IF(J3=5,INDEX(Language!B4:F35,14,1),IF(J3=4,INDEX(Language!B4:F35,14,2),IF(J3=3,INDEX(Language!B4:F35,14,3),IF(J3=2,INDEX(Language!B4:F35,14,4),INDEX(Language!B4:F35,14,5))))))</f>
        <v>Min. PV voltage @ max. temperature</v>
      </c>
      <c r="C41" s="9"/>
      <c r="D41" s="9"/>
      <c r="E41" s="9"/>
      <c r="F41" s="9"/>
      <c r="G41" s="35">
        <f>IF(D30=1,0,'Calculation table RS'!X37)</f>
        <v>241.11890493333331</v>
      </c>
      <c r="H41" s="9"/>
      <c r="I41" s="9"/>
      <c r="J41" s="132"/>
      <c r="K41" s="150"/>
      <c r="L41" s="175"/>
      <c r="M41" s="175"/>
      <c r="N41" s="175"/>
      <c r="O41" s="175"/>
    </row>
    <row r="42" spans="1:15" s="43" customFormat="1" x14ac:dyDescent="0.25">
      <c r="A42" s="145"/>
      <c r="B42" s="118" t="str">
        <f>IF(G25="N.A.","",IF('Calculation table RS'!R50=TRUE,IF(J3=6,INDEX(Language!B4:G52,49,6),IF(J3=5,INDEX(Language!B4:F52,49,1),IF(J3=4,INDEX(Language!B4:F52,49,2),IF(J3=3,INDEX(Language!B4:F52,49,3),IF(J3=2,INDEX(Language!B4:F52,49,4),INDEX(Language!B4:F52,49,5)))))),""))</f>
        <v/>
      </c>
      <c r="C42" s="9"/>
      <c r="D42" s="9"/>
      <c r="E42" s="9"/>
      <c r="F42" s="9"/>
      <c r="G42" s="9"/>
      <c r="H42" s="9"/>
      <c r="I42" s="9"/>
      <c r="J42" s="9"/>
      <c r="K42" s="147"/>
      <c r="L42" s="175"/>
      <c r="M42" s="175"/>
      <c r="N42" s="175"/>
      <c r="O42" s="175"/>
    </row>
    <row r="43" spans="1:15" s="43" customFormat="1" x14ac:dyDescent="0.25">
      <c r="A43" s="145"/>
      <c r="B43" s="202" t="s">
        <v>514</v>
      </c>
      <c r="C43" s="9"/>
      <c r="D43" s="9">
        <f>'Calculation table RS'!P16</f>
        <v>1720</v>
      </c>
      <c r="E43" s="9" t="str">
        <f>IF(J3=6,INDEX(Language!B4:G35,5,6),IF(J3=5,INDEX(Language!B4:F35,5,1),IF(J3=4,INDEX(Language!B4:F35,5,2),IF(J3=3,INDEX(Language!B4:F35,5,3),IF(J3=2,INDEX(Language!B4:F35,5,4),INDEX(Language!B4:F35,5,5))))))</f>
        <v>Wp</v>
      </c>
      <c r="F43" s="9"/>
      <c r="G43" s="9"/>
      <c r="H43" s="9"/>
      <c r="I43" s="9"/>
      <c r="J43" s="9"/>
      <c r="K43" s="147"/>
      <c r="L43" s="175"/>
      <c r="M43" s="175"/>
      <c r="N43" s="175"/>
      <c r="O43" s="175"/>
    </row>
    <row r="44" spans="1:15" s="43" customFormat="1" x14ac:dyDescent="0.25">
      <c r="A44" s="145"/>
      <c r="B44" s="118" t="str">
        <f>IF(D43&gt;4000,IF(J3=6,INDEX(Language!B4:G63,54,6),IF(J3=5,INDEX(Language!B4:G63,54,1),IF(J3=4,INDEX(Language!B4:G63,54,2),IF(J3=3,INDEX(Language!B4:G63,54,3),IF(J3=2,INDEX(Language!B4:G63,54,4),INDEX(Language!B4:G63,54,5)))))),"")</f>
        <v/>
      </c>
      <c r="C44" s="9"/>
      <c r="D44" s="9"/>
      <c r="E44" s="9"/>
      <c r="F44" s="9"/>
      <c r="G44" s="9"/>
      <c r="H44" s="9"/>
      <c r="I44" s="9"/>
      <c r="J44" s="9"/>
      <c r="K44" s="147"/>
      <c r="L44" s="175"/>
      <c r="M44" s="175"/>
      <c r="N44" s="175"/>
      <c r="O44" s="175"/>
    </row>
    <row r="45" spans="1:15" s="43" customFormat="1" x14ac:dyDescent="0.25">
      <c r="A45" s="145"/>
      <c r="B45" s="12" t="str">
        <f>IF(J3=6,INDEX(Language!B4:G36,18,6),IF(J3=5,INDEX(Language!B4:F35,18,1),IF(J3=4,INDEX(Language!B4:F35,18,2),IF(J3=3,INDEX(Language!B4:F35,18,3),IF(J3=2,INDEX(Language!B4:F35,18,4),INDEX(Language!B4:F35,18,5))))))</f>
        <v>Solar module configuration</v>
      </c>
      <c r="C45" s="12"/>
      <c r="D45" s="12"/>
      <c r="E45" s="193" t="b">
        <f>IF(D30=1,TRUE,IF('Calculation table RS'!R50=FALSE,IF(G39&lt;=G38,IF(G41&gt;G40,TRUE,FALSE),FALSE),FALSE))</f>
        <v>1</v>
      </c>
      <c r="F45" s="12"/>
      <c r="G45" s="194" t="str">
        <f>IF(E45=TRUE,H52,J52)</f>
        <v>Accepted</v>
      </c>
      <c r="H45" s="193" t="str">
        <f>IF(J3=6,INDEX(Language!B4:G40,37,6),IF(J3=5,INDEX(Language!B4:F40,37,1),IF(J3=4,INDEX(Language!B4:F40,37,2),IF(J3=3,INDEX(Language!B4:F40,37,3),IF(J3=2,INDEX(Language!B4:F40,37,4),INDEX(Language!B4:F40,37,5))))))</f>
        <v>Accepted</v>
      </c>
      <c r="I45" s="12"/>
      <c r="J45" s="12"/>
      <c r="K45" s="181"/>
      <c r="L45" s="175"/>
      <c r="M45" s="175"/>
      <c r="N45" s="175"/>
      <c r="O45" s="175"/>
    </row>
    <row r="46" spans="1:15" s="43" customFormat="1" x14ac:dyDescent="0.25">
      <c r="A46" s="145"/>
      <c r="B46" s="9"/>
      <c r="C46" s="9"/>
      <c r="D46" s="9"/>
      <c r="E46" s="9"/>
      <c r="F46" s="9"/>
      <c r="G46" s="9"/>
      <c r="H46" s="9"/>
      <c r="I46" s="9"/>
      <c r="J46" s="9"/>
      <c r="K46" s="147"/>
      <c r="L46" s="175"/>
      <c r="M46" s="175"/>
      <c r="N46" s="175"/>
      <c r="O46" s="175"/>
    </row>
    <row r="47" spans="1:15" s="43" customFormat="1" x14ac:dyDescent="0.25">
      <c r="A47" s="145"/>
      <c r="B47" s="179" t="str">
        <f>IF(J3=6,INDEX(Language!B4:G60,50,6),IF(J3=5,INDEX(Language!B4:G60,50,1),IF(J3=4,INDEX(Language!B4:G60,50,2),IF(J3=3,INDEX(Language!B4:G60,50,3),IF(J3=2,INDEX(Language!B4:G60,50,4),INDEX(Language!B4:G60,50,5))))))</f>
        <v>Max. total output current</v>
      </c>
      <c r="C47" s="9"/>
      <c r="D47" s="9"/>
      <c r="E47" s="9"/>
      <c r="F47" s="9"/>
      <c r="G47" s="36">
        <f>INDEX(Regulator!B20:T20,'MPPT RS'!$D$4,15)</f>
        <v>100</v>
      </c>
      <c r="H47" s="9"/>
      <c r="I47" s="9"/>
      <c r="J47" s="9"/>
      <c r="K47" s="147"/>
      <c r="L47" s="175"/>
      <c r="M47" s="175"/>
      <c r="N47" s="175"/>
      <c r="O47" s="175"/>
    </row>
    <row r="48" spans="1:15" s="43" customFormat="1" x14ac:dyDescent="0.25">
      <c r="A48" s="145"/>
      <c r="B48" s="9" t="str">
        <f>IF(J3=6,INDEX(Language!B4:G60,51,6),IF(J3=5,INDEX(Language!B4:G60,51,1),IF(J3=4,INDEX(Language!B4:G60,51,2),IF(J3=3,INDEX(Language!B4:G60,51,3),IF(J3=2,INDEX(Language!B4:G60,51,4),INDEX(Language!B4:G60,51,5))))))</f>
        <v>Max. total current @ MPP min. temp.</v>
      </c>
      <c r="C48" s="9"/>
      <c r="D48" s="9"/>
      <c r="E48" s="9"/>
      <c r="F48" s="9"/>
      <c r="G48" s="37">
        <f>IF('Calculation table RS'!E20=0,"N.A.",'Calculation table RS'!F54)</f>
        <v>100</v>
      </c>
      <c r="H48" s="9"/>
      <c r="I48" s="9"/>
      <c r="J48" s="9"/>
      <c r="K48" s="147"/>
      <c r="L48" s="175"/>
      <c r="M48" s="175"/>
      <c r="N48" s="175"/>
      <c r="O48" s="175"/>
    </row>
    <row r="49" spans="1:15" s="43" customFormat="1" x14ac:dyDescent="0.25">
      <c r="A49" s="145"/>
      <c r="B49" s="9"/>
      <c r="C49" s="9"/>
      <c r="D49" s="9"/>
      <c r="E49" s="9"/>
      <c r="F49" s="9"/>
      <c r="G49" s="9" t="str">
        <f>IF(G48="N.A.","",IF('Calculation table RS'!F54=G47,IF(J3=6,INDEX(Language!B4:G36,27,6),IF(J3=5,INDEX(Language!B4:F35,27,1),IF(J3=4,INDEX(Language!B4:F35,27,2),IF(J3=3,INDEX(Language!B4:F35,27,3),IF(J3=2,INDEX(Language!B4:F35,27,4),INDEX(Language!B4:F35,27,5)))))),""))</f>
        <v>* Power limiting @ low temp.</v>
      </c>
      <c r="H49" s="9"/>
      <c r="I49" s="9"/>
      <c r="J49" s="9"/>
      <c r="K49" s="147"/>
      <c r="L49" s="175"/>
      <c r="M49" s="175"/>
      <c r="N49" s="175"/>
      <c r="O49" s="175"/>
    </row>
    <row r="50" spans="1:15" s="43" customFormat="1" x14ac:dyDescent="0.25">
      <c r="A50" s="145"/>
      <c r="B50" s="9" t="str">
        <f>IF(J3=6,INDEX(Language!B4:G60,52,6),IF(J3=5,INDEX(Language!B4:G60,52,1),IF(J3=4,INDEX(Language!B4:G60,52,2),IF(J3=3,INDEX(Language!B4:G60,52,3),IF(J3=2,INDEX(Language!B4:G60,52,4),INDEX(Language!B4:G60,52,5))))))</f>
        <v>Max. total current @ MPP max. temp.</v>
      </c>
      <c r="C50" s="9"/>
      <c r="D50" s="9"/>
      <c r="E50" s="9"/>
      <c r="F50" s="9"/>
      <c r="G50" s="37">
        <f>IF('Calculation table RS'!E20=0,"N.A.",'Calculation table RS'!G61)</f>
        <v>86.718756651099994</v>
      </c>
      <c r="H50" s="9"/>
      <c r="I50" s="9"/>
      <c r="J50" s="9"/>
      <c r="K50" s="147"/>
      <c r="L50" s="175"/>
      <c r="M50" s="175"/>
      <c r="N50" s="175"/>
      <c r="O50" s="175"/>
    </row>
    <row r="51" spans="1:15" s="43" customFormat="1" ht="15.75" thickBot="1" x14ac:dyDescent="0.3">
      <c r="A51" s="153"/>
      <c r="B51" s="154"/>
      <c r="C51" s="154"/>
      <c r="D51" s="154"/>
      <c r="E51" s="154"/>
      <c r="F51" s="154"/>
      <c r="G51" s="154" t="str">
        <f>IF(G50="N.A.","",IF('Calculation table RS'!G61=G47,IF(J3=6,INDEX(Language!B4:G41,28,6),IF(J3=5,INDEX(Language!B4:F35,28,1),IF(J3=4,INDEX(Language!B4:F35,28,2),IF(J3=3,INDEX(Language!B4:F35,28,3),IF(J3=2,INDEX(Language!B4:F35,28,4),INDEX(Language!B4:F35,28,5)))))),""))</f>
        <v/>
      </c>
      <c r="H51" s="154"/>
      <c r="I51" s="154"/>
      <c r="J51" s="154"/>
      <c r="K51" s="155"/>
      <c r="L51" s="175"/>
      <c r="M51" s="175"/>
      <c r="N51" s="175"/>
      <c r="O51" s="175"/>
    </row>
    <row r="52" spans="1:15" s="43" customFormat="1" ht="15.75" thickBot="1" x14ac:dyDescent="0.3">
      <c r="A52" s="152"/>
      <c r="B52" s="14" t="str">
        <f>IF(J3=6,INDEX(Language!B4:G36,18,6),IF(J3=5,INDEX(Language!B4:F35,18,1),IF(J3=4,INDEX(Language!B4:F35,18,2),IF(J3=3,INDEX(Language!B4:F35,18,3),IF(J3=2,INDEX(Language!B4:F35,18,4),INDEX(Language!B4:F35,18,5))))))</f>
        <v>Solar module configuration</v>
      </c>
      <c r="C52" s="41"/>
      <c r="D52" s="14"/>
      <c r="E52" s="195" t="b">
        <f>IF(E28=TRUE,IF(E45=TRUE,TRUE,FALSE),FALSE)</f>
        <v>1</v>
      </c>
      <c r="F52" s="15"/>
      <c r="G52" s="15" t="str">
        <f>IF(E52=TRUE,H52,J52)</f>
        <v>Accepted</v>
      </c>
      <c r="H52" s="112" t="str">
        <f>IF(J3=6,INDEX(Language!B4:G40,37,6),IF(J3=5,INDEX(Language!B4:F40,37,1),IF(J3=4,INDEX(Language!B4:F40,37,2),IF(J3=3,INDEX(Language!B4:F40,37,3),IF(J3=2,INDEX(Language!B4:F40,37,4),INDEX(Language!B4:F40,37,5))))))</f>
        <v>Accepted</v>
      </c>
      <c r="I52" s="112"/>
      <c r="J52" s="113" t="str">
        <f>IF(J3=6,INDEX(Language!B4:G41,38,6),IF(J3=5,INDEX(Language!B4:F41,38,1),IF(J3=4,INDEX(Language!B4:F41,38,2),IF(J3=3,INDEX(Language!B4:F41,38,3),IF(J3=2,INDEX(Language!B4:F41,38,4),INDEX(Language!B4:F41,38,5))))))</f>
        <v>NOT accepted</v>
      </c>
      <c r="K52" s="168"/>
      <c r="L52" s="177"/>
      <c r="M52" s="175"/>
      <c r="N52" s="175"/>
      <c r="O52" s="175"/>
    </row>
    <row r="53" spans="1:15" s="43" customFormat="1" ht="6" customHeight="1" thickBot="1" x14ac:dyDescent="0.3">
      <c r="A53" s="153"/>
      <c r="B53" s="154"/>
      <c r="C53" s="154"/>
      <c r="D53" s="154"/>
      <c r="E53" s="154"/>
      <c r="F53" s="154"/>
      <c r="G53" s="154"/>
      <c r="H53" s="154"/>
      <c r="I53" s="154"/>
      <c r="J53" s="154"/>
      <c r="K53" s="155"/>
      <c r="L53" s="175"/>
      <c r="M53" s="175"/>
      <c r="N53" s="175"/>
      <c r="O53" s="175"/>
    </row>
    <row r="54" spans="1:15" s="43" customFormat="1" x14ac:dyDescent="0.25">
      <c r="J54" s="65"/>
      <c r="K54" s="65" t="s">
        <v>538</v>
      </c>
      <c r="L54" s="175"/>
      <c r="M54" s="175"/>
      <c r="N54" s="175"/>
      <c r="O54" s="175"/>
    </row>
    <row r="55" spans="1:15" s="43" customFormat="1" x14ac:dyDescent="0.25">
      <c r="J55" s="65"/>
      <c r="K55" s="65"/>
      <c r="L55" s="175"/>
      <c r="M55" s="175"/>
      <c r="N55" s="175"/>
      <c r="O55" s="175"/>
    </row>
    <row r="56" spans="1:15" s="43" customFormat="1" x14ac:dyDescent="0.25">
      <c r="A56" s="166" t="str">
        <f>IF(J3=6,INDEX(Language!B4:G41,34,6),IF(J3=5,INDEX(Language!B4:F37,34,1),IF(J3=4,INDEX(Language!B4:F37,34,2),IF(J3=3,INDEX(Language!B4:F37,34,3),IF(J3=2,INDEX(Language!B4:F37,34,4),INDEX(Language!B4:F37,34,5))))))</f>
        <v>Are the solar modules covered with snow many periods a year?</v>
      </c>
      <c r="B56" s="80"/>
      <c r="C56" s="80"/>
      <c r="D56" s="80"/>
      <c r="E56" s="80"/>
      <c r="F56" s="80"/>
      <c r="G56" s="80"/>
      <c r="H56" s="81"/>
      <c r="I56" s="81"/>
      <c r="J56" s="157" t="str">
        <f>IF(M56=TRUE,IF(J3=6,INDEX(Language!B4:G41,35,6),IF(J3=5,INDEX(Language!B4:F38,35,1),IF(J3=6,INDEX(Language!B4:G41,35,6),IF(J3=4,INDEX(Language!B4:F38,35,2),IF(J3=3,INDEX(Language!B4:F38,35,3),IF(J3=2,INDEX(Language!B4:F38,35,4),INDEX(Language!B4:F38,35,5))))))),IF(J3=6,INDEX(Language!B4:G41,36,6),IF(J3=5,INDEX(Language!B4:F39,36,1),IF(J3=4,INDEX(Language!B4:F39,36,2),IF(J3=3,INDEX(Language!B4:F39,36,3),IF(J3=2,INDEX(Language!B4:F39,36,4),INDEX(Language!B4:F39,36,5)))))))</f>
        <v>No</v>
      </c>
      <c r="K56" s="82"/>
      <c r="L56" s="175"/>
      <c r="M56" s="107" t="b">
        <v>0</v>
      </c>
      <c r="N56" s="158"/>
      <c r="O56" s="158"/>
    </row>
    <row r="57" spans="1:15" s="43" customFormat="1" x14ac:dyDescent="0.25">
      <c r="J57" s="44"/>
      <c r="K57" s="44"/>
      <c r="L57" s="175"/>
      <c r="M57" s="158"/>
      <c r="N57" s="158"/>
      <c r="O57" s="158"/>
    </row>
    <row r="58" spans="1:15" s="43" customFormat="1" x14ac:dyDescent="0.25">
      <c r="A58" s="61" t="str">
        <f>IF(J3=6,INDEX(Language!B4:G41,19,6),IF(J3=5,INDEX(Language!B4:F35,19,1),IF(J3=4,INDEX(Language!B4:F35,19,2),IF(J3=3,INDEX(Language!B4:F35,19,3),IF(J3=2,INDEX(Language!B4:F35,19,4),INDEX(Language!B4:F35,19,5))))))</f>
        <v>Example locations with expected temperatures:</v>
      </c>
      <c r="B58" s="62"/>
      <c r="C58" s="62"/>
      <c r="D58" s="62"/>
      <c r="E58" s="62"/>
      <c r="F58" s="62"/>
      <c r="G58" s="62"/>
      <c r="H58" s="210" t="str">
        <f>IF(J3=5,INDEX(Language!B4:F35,7,1),IF(J3=4,INDEX(Language!B4:F35,7,2),IF(J3=3,INDEX(Language!B4:F35,7,3),IF(J3=2,INDEX(Language!B4:F35,7,4),INDEX(Language!B4:F35,7,5)))))</f>
        <v>Min.</v>
      </c>
      <c r="I58" s="211"/>
      <c r="J58" s="210" t="str">
        <f>IF(J3=5,INDEX(Language!B4:F35,8,1),IF(J3=4,INDEX(Language!B4:F35,8,2),IF(J3=3,INDEX(Language!B4:F35,8,3),IF(J3=2,INDEX(Language!B4:F35,8,4),INDEX(Language!B4:F35,8,5)))))</f>
        <v xml:space="preserve">Max. </v>
      </c>
      <c r="K58" s="211"/>
      <c r="L58" s="175"/>
      <c r="M58" s="158"/>
      <c r="N58" s="158"/>
      <c r="O58" s="158"/>
    </row>
    <row r="59" spans="1:15" s="43" customFormat="1" x14ac:dyDescent="0.25">
      <c r="A59" s="63" t="str">
        <f>IF(J3=6,INDEX(Language!B4:G41,20,6),IF(J3=5,INDEX(Language!B4:F35,20,1),IF(J3=4,INDEX(Language!B4:F35,20,2),IF(J3=3,INDEX(Language!B4:F35,20,3),IF(J3=2,INDEX(Language!B4:F35,20,4),INDEX(Language!B4:F35,20,5))))))</f>
        <v>Flat on mobile home, all year (poor ventilation)</v>
      </c>
      <c r="B59" s="64"/>
      <c r="C59" s="64"/>
      <c r="D59" s="64"/>
      <c r="E59" s="64"/>
      <c r="F59" s="64"/>
      <c r="G59" s="64"/>
      <c r="H59" s="135">
        <f>IF($B$9=1, M59, ((M59)*9/5)+32)</f>
        <v>0</v>
      </c>
      <c r="I59" s="136" t="str">
        <f>IF($B$9=1, "°C", "°F")</f>
        <v>°C</v>
      </c>
      <c r="J59" s="135">
        <f>IF(B9=1, 70, ((70)*9/5)+32)</f>
        <v>70</v>
      </c>
      <c r="K59" s="136" t="str">
        <f>IF($B$9=1, "°C", "°F")</f>
        <v>°C</v>
      </c>
      <c r="L59" s="175"/>
      <c r="M59" s="158">
        <f>IF(M56=TRUE,-10,0)</f>
        <v>0</v>
      </c>
      <c r="N59" s="158"/>
      <c r="O59" s="158">
        <v>2.5</v>
      </c>
    </row>
    <row r="60" spans="1:15" s="43" customFormat="1" x14ac:dyDescent="0.25">
      <c r="A60" s="63" t="str">
        <f>IF(J3=6,INDEX(Language!B4:G41,21,6),IF(J3=5,INDEX(Language!B4:F35,21,1),IF(J3=4,INDEX(Language!B4:F35,21,2),IF(J3=3,INDEX(Language!B4:F35,21,3),IF(J3=2,INDEX(Language!B4:F35,21,4),INDEX(Language!B4:F35,21,5))))))</f>
        <v>Flat on mobile home, only summer (poor ventilation)</v>
      </c>
      <c r="B60" s="64"/>
      <c r="C60" s="64"/>
      <c r="D60" s="64"/>
      <c r="E60" s="64"/>
      <c r="F60" s="64"/>
      <c r="G60" s="64"/>
      <c r="H60" s="133">
        <f t="shared" ref="H60:H65" si="0">IF($B$9=1, M60, ((M60)*9/5)+32)</f>
        <v>15</v>
      </c>
      <c r="I60" s="137" t="str">
        <f t="shared" ref="I60:I65" si="1">IF($B$9=1, "°C", "°F")</f>
        <v>°C</v>
      </c>
      <c r="J60" s="133">
        <f>IF(B9=1, 70, ((70)*9/5)+32)</f>
        <v>70</v>
      </c>
      <c r="K60" s="137" t="str">
        <f t="shared" ref="K60:K64" si="2">IF($B$9=1, "°C", "°F")</f>
        <v>°C</v>
      </c>
      <c r="L60" s="175"/>
      <c r="M60" s="158">
        <f>IF(M56=TRUE,5,15)</f>
        <v>15</v>
      </c>
      <c r="N60" s="158"/>
      <c r="O60" s="158">
        <v>4</v>
      </c>
    </row>
    <row r="61" spans="1:15" s="43" customFormat="1" x14ac:dyDescent="0.25">
      <c r="A61" s="63" t="str">
        <f>IF(J3=6,INDEX(Language!B4:G41,22,6),IF(J3=5,INDEX(Language!B4:F35,22,1),IF(J3=4,INDEX(Language!B4:F35,22,2),IF(J3=3,INDEX(Language!B4:F35,22,3),IF(J3=2,INDEX(Language!B4:F35,22,4),INDEX(Language!B4:F35,22,5))))))</f>
        <v>Flat on boat (poor ventilation)</v>
      </c>
      <c r="B61" s="64"/>
      <c r="C61" s="64"/>
      <c r="D61" s="64"/>
      <c r="E61" s="64"/>
      <c r="F61" s="64"/>
      <c r="G61" s="64"/>
      <c r="H61" s="133">
        <f t="shared" si="0"/>
        <v>10</v>
      </c>
      <c r="I61" s="137" t="str">
        <f t="shared" si="1"/>
        <v>°C</v>
      </c>
      <c r="J61" s="133">
        <f>IF(B9=1, 65, ((65)*9/5)+32)</f>
        <v>65</v>
      </c>
      <c r="K61" s="137" t="str">
        <f t="shared" si="2"/>
        <v>°C</v>
      </c>
      <c r="L61" s="175"/>
      <c r="M61" s="158">
        <f>IF(M56=TRUE,0,10)</f>
        <v>10</v>
      </c>
      <c r="N61" s="158"/>
      <c r="O61" s="158">
        <v>6</v>
      </c>
    </row>
    <row r="62" spans="1:15" s="43" customFormat="1" x14ac:dyDescent="0.25">
      <c r="A62" s="63" t="str">
        <f>IF(J3=6,INDEX(Language!B4:G41,23,6),IF(J3=5,INDEX(Language!B4:F35,23,1),IF(J3=4,INDEX(Language!B4:F35,23,2),IF(J3=3,INDEX(Language!B4:F35,23,3),IF(J3=2,INDEX(Language!B4:F35,23,4),INDEX(Language!B4:F35,23,5))))))</f>
        <v>Pitched on boat (good ventilation)</v>
      </c>
      <c r="B62" s="64"/>
      <c r="C62" s="64"/>
      <c r="D62" s="64"/>
      <c r="E62" s="64"/>
      <c r="F62" s="64"/>
      <c r="G62" s="64"/>
      <c r="H62" s="133">
        <f t="shared" si="0"/>
        <v>5</v>
      </c>
      <c r="I62" s="137" t="str">
        <f t="shared" si="1"/>
        <v>°C</v>
      </c>
      <c r="J62" s="133">
        <f>IF(B9=1, 60, ((60)*9/5)+32)</f>
        <v>60</v>
      </c>
      <c r="K62" s="137" t="str">
        <f t="shared" si="2"/>
        <v>°C</v>
      </c>
      <c r="L62" s="175"/>
      <c r="M62" s="158">
        <f>IF(M56=TRUE,-5,5)</f>
        <v>5</v>
      </c>
      <c r="N62" s="158"/>
      <c r="O62" s="158">
        <v>10</v>
      </c>
    </row>
    <row r="63" spans="1:15" s="43" customFormat="1" x14ac:dyDescent="0.25">
      <c r="A63" s="63" t="str">
        <f>IF(J3=6,INDEX(Language!B4:G41,24,6),IF(J3=5,INDEX(Language!B4:F35,24,1),IF(J3=4,INDEX(Language!B4:F35,24,2),IF(J3=3,INDEX(Language!B4:F35,24,3),IF(J3=2,INDEX(Language!B4:F35,24,4),INDEX(Language!B4:F35,24,5))))))</f>
        <v>Pitched roof in warm region (good ventilation)</v>
      </c>
      <c r="B63" s="64"/>
      <c r="C63" s="64"/>
      <c r="D63" s="64"/>
      <c r="E63" s="64"/>
      <c r="F63" s="64"/>
      <c r="G63" s="64"/>
      <c r="H63" s="133">
        <f t="shared" si="0"/>
        <v>5</v>
      </c>
      <c r="I63" s="137" t="str">
        <f t="shared" si="1"/>
        <v>°C</v>
      </c>
      <c r="J63" s="133">
        <f>IF(B9=1, 70, ((70)*9/5)+32)</f>
        <v>70</v>
      </c>
      <c r="K63" s="137" t="str">
        <f t="shared" si="2"/>
        <v>°C</v>
      </c>
      <c r="L63" s="175"/>
      <c r="M63" s="158">
        <f>IF(M56=TRUE,-5,5)</f>
        <v>5</v>
      </c>
      <c r="N63" s="158"/>
      <c r="O63" s="158">
        <v>16</v>
      </c>
    </row>
    <row r="64" spans="1:15" s="43" customFormat="1" x14ac:dyDescent="0.25">
      <c r="A64" s="63" t="str">
        <f>IF(J3=6,INDEX(Language!B4:G41,25,6),IF(J3=5,INDEX(Language!B4:F35,25,1),IF(J3=4,INDEX(Language!B4:F35,25,2),IF(J3=3,INDEX(Language!B4:F35,25,3),IF(J3=2,INDEX(Language!B4:F35,25,4),INDEX(Language!B4:F35,25,5))))))</f>
        <v>Pitched roof in average region (good ventilation)</v>
      </c>
      <c r="B64" s="64"/>
      <c r="C64" s="64"/>
      <c r="D64" s="64"/>
      <c r="E64" s="64"/>
      <c r="F64" s="64"/>
      <c r="G64" s="64"/>
      <c r="H64" s="133">
        <f t="shared" si="0"/>
        <v>0</v>
      </c>
      <c r="I64" s="137" t="str">
        <f t="shared" si="1"/>
        <v>°C</v>
      </c>
      <c r="J64" s="133">
        <f>IF(B9=1, 65, ((65)*9/5)+32)</f>
        <v>65</v>
      </c>
      <c r="K64" s="137" t="str">
        <f t="shared" si="2"/>
        <v>°C</v>
      </c>
      <c r="L64" s="175"/>
      <c r="M64" s="158">
        <f>IF(M56=TRUE,-10,0)</f>
        <v>0</v>
      </c>
      <c r="N64" s="158"/>
      <c r="O64" s="158">
        <v>25</v>
      </c>
    </row>
    <row r="65" spans="1:15" s="43" customFormat="1" x14ac:dyDescent="0.25">
      <c r="A65" s="63" t="str">
        <f>IF(J3=6,INDEX(Language!B4:G41,26,6),IF(J3=5,INDEX(Language!B4:F35,26,1),IF(J3=4,INDEX(Language!B4:F35,26,2),IF(J3=3,INDEX(Language!B4:F35,26,3),IF(J3=2,INDEX(Language!B4:F35,26,4),INDEX(Language!B4:F35,26,5))))))</f>
        <v>Pitched roof on mountain (good ventilation)</v>
      </c>
      <c r="B65" s="64"/>
      <c r="C65" s="64"/>
      <c r="D65" s="64"/>
      <c r="E65" s="64"/>
      <c r="F65" s="64"/>
      <c r="G65" s="64"/>
      <c r="H65" s="134">
        <f t="shared" si="0"/>
        <v>-5</v>
      </c>
      <c r="I65" s="138" t="str">
        <f t="shared" si="1"/>
        <v>°C</v>
      </c>
      <c r="J65" s="134">
        <f>IF(B9=1, 60, ((60)*9/5)+32)</f>
        <v>60</v>
      </c>
      <c r="K65" s="138" t="str">
        <f>IF($B$9=1, "°C", "°F")</f>
        <v>°C</v>
      </c>
      <c r="L65" s="175"/>
      <c r="M65" s="158">
        <f>IF(M56=TRUE,-10,-5)</f>
        <v>-5</v>
      </c>
      <c r="N65" s="158"/>
      <c r="O65" s="158">
        <v>35</v>
      </c>
    </row>
    <row r="66" spans="1:15" s="43" customFormat="1" x14ac:dyDescent="0.25">
      <c r="L66" s="175"/>
      <c r="M66" s="175"/>
      <c r="N66" s="175"/>
      <c r="O66" s="175"/>
    </row>
    <row r="67" spans="1:15" s="43" customFormat="1" x14ac:dyDescent="0.25">
      <c r="L67" s="175"/>
      <c r="M67" s="175"/>
      <c r="N67" s="175"/>
      <c r="O67" s="175"/>
    </row>
    <row r="68" spans="1:15" s="43" customFormat="1" x14ac:dyDescent="0.25">
      <c r="L68" s="175"/>
      <c r="M68" s="175"/>
      <c r="N68" s="175"/>
      <c r="O68" s="175"/>
    </row>
    <row r="69" spans="1:15" s="43" customFormat="1" x14ac:dyDescent="0.25">
      <c r="L69" s="175"/>
      <c r="M69" s="175"/>
      <c r="N69" s="175"/>
      <c r="O69" s="175"/>
    </row>
    <row r="70" spans="1:15" s="43" customFormat="1" x14ac:dyDescent="0.25">
      <c r="L70" s="175"/>
      <c r="M70" s="175"/>
      <c r="N70" s="175"/>
      <c r="O70" s="175"/>
    </row>
    <row r="71" spans="1:15" s="43" customFormat="1" x14ac:dyDescent="0.25">
      <c r="L71" s="175"/>
      <c r="M71" s="175"/>
      <c r="N71" s="175"/>
      <c r="O71" s="175"/>
    </row>
    <row r="72" spans="1:15" s="43" customFormat="1" x14ac:dyDescent="0.25">
      <c r="L72" s="175"/>
      <c r="M72" s="175"/>
      <c r="N72" s="175"/>
      <c r="O72" s="175"/>
    </row>
    <row r="73" spans="1:15" s="43" customFormat="1" x14ac:dyDescent="0.25">
      <c r="L73" s="175"/>
      <c r="M73" s="175"/>
      <c r="N73" s="175"/>
      <c r="O73" s="175"/>
    </row>
    <row r="74" spans="1:15" s="43" customFormat="1" x14ac:dyDescent="0.25">
      <c r="L74" s="175"/>
      <c r="M74" s="175"/>
      <c r="N74" s="175"/>
      <c r="O74" s="175"/>
    </row>
    <row r="75" spans="1:15" s="43" customFormat="1" x14ac:dyDescent="0.25">
      <c r="L75" s="175"/>
      <c r="M75" s="175"/>
      <c r="N75" s="175"/>
      <c r="O75" s="175"/>
    </row>
    <row r="76" spans="1:15" s="43" customFormat="1" x14ac:dyDescent="0.25">
      <c r="L76" s="175"/>
      <c r="M76" s="175"/>
      <c r="N76" s="175"/>
      <c r="O76" s="175"/>
    </row>
    <row r="77" spans="1:15" s="43" customFormat="1" x14ac:dyDescent="0.25">
      <c r="L77" s="175"/>
      <c r="M77" s="175"/>
      <c r="N77" s="175"/>
      <c r="O77" s="175"/>
    </row>
    <row r="78" spans="1:15" s="43" customFormat="1" x14ac:dyDescent="0.25">
      <c r="L78" s="175"/>
      <c r="M78" s="175"/>
      <c r="N78" s="175"/>
      <c r="O78" s="175"/>
    </row>
    <row r="79" spans="1:15" s="43" customFormat="1" x14ac:dyDescent="0.25">
      <c r="L79" s="175"/>
      <c r="M79" s="175"/>
      <c r="N79" s="175"/>
      <c r="O79" s="175"/>
    </row>
    <row r="80" spans="1:15" s="43" customFormat="1" x14ac:dyDescent="0.25">
      <c r="L80" s="175"/>
      <c r="M80" s="175"/>
      <c r="N80" s="175"/>
      <c r="O80" s="175"/>
    </row>
    <row r="81" spans="12:15" s="43" customFormat="1" x14ac:dyDescent="0.25">
      <c r="L81" s="175"/>
      <c r="M81" s="175"/>
      <c r="N81" s="175"/>
      <c r="O81" s="175"/>
    </row>
    <row r="82" spans="12:15" s="43" customFormat="1" x14ac:dyDescent="0.25">
      <c r="L82" s="175"/>
      <c r="M82" s="175"/>
      <c r="N82" s="175"/>
      <c r="O82" s="175"/>
    </row>
    <row r="83" spans="12:15" s="43" customFormat="1" x14ac:dyDescent="0.25">
      <c r="L83" s="175"/>
      <c r="M83" s="175"/>
      <c r="N83" s="175"/>
      <c r="O83" s="175"/>
    </row>
    <row r="84" spans="12:15" s="43" customFormat="1" x14ac:dyDescent="0.25">
      <c r="L84" s="175"/>
      <c r="M84" s="175"/>
      <c r="N84" s="175"/>
      <c r="O84" s="175"/>
    </row>
    <row r="85" spans="12:15" s="43" customFormat="1" x14ac:dyDescent="0.25">
      <c r="L85" s="175"/>
      <c r="M85" s="175"/>
      <c r="N85" s="175"/>
      <c r="O85" s="175"/>
    </row>
    <row r="86" spans="12:15" s="43" customFormat="1" x14ac:dyDescent="0.25">
      <c r="L86" s="175"/>
      <c r="M86" s="175"/>
      <c r="N86" s="175"/>
      <c r="O86" s="175"/>
    </row>
    <row r="87" spans="12:15" s="43" customFormat="1" x14ac:dyDescent="0.25">
      <c r="L87" s="175"/>
      <c r="M87" s="175"/>
      <c r="N87" s="175"/>
      <c r="O87" s="175"/>
    </row>
    <row r="88" spans="12:15" s="43" customFormat="1" x14ac:dyDescent="0.25">
      <c r="L88" s="175"/>
      <c r="M88" s="175"/>
      <c r="N88" s="175"/>
      <c r="O88" s="175"/>
    </row>
    <row r="89" spans="12:15" s="43" customFormat="1" x14ac:dyDescent="0.25">
      <c r="L89" s="175"/>
      <c r="M89" s="175"/>
      <c r="N89" s="175"/>
      <c r="O89" s="175"/>
    </row>
    <row r="90" spans="12:15" s="43" customFormat="1" x14ac:dyDescent="0.25">
      <c r="L90" s="175"/>
      <c r="M90" s="175"/>
      <c r="N90" s="175"/>
      <c r="O90" s="175"/>
    </row>
    <row r="91" spans="12:15" s="43" customFormat="1" x14ac:dyDescent="0.25">
      <c r="L91" s="175"/>
      <c r="M91" s="175"/>
      <c r="N91" s="175"/>
      <c r="O91" s="175"/>
    </row>
    <row r="92" spans="12:15" s="43" customFormat="1" x14ac:dyDescent="0.25">
      <c r="L92" s="175"/>
      <c r="M92" s="175"/>
      <c r="N92" s="175"/>
      <c r="O92" s="175"/>
    </row>
    <row r="93" spans="12:15" s="43" customFormat="1" x14ac:dyDescent="0.25">
      <c r="L93" s="175"/>
      <c r="M93" s="175"/>
      <c r="N93" s="175"/>
      <c r="O93" s="175"/>
    </row>
    <row r="94" spans="12:15" s="43" customFormat="1" x14ac:dyDescent="0.25">
      <c r="L94" s="175"/>
      <c r="M94" s="175"/>
      <c r="N94" s="175"/>
      <c r="O94" s="175"/>
    </row>
    <row r="95" spans="12:15" s="43" customFormat="1" x14ac:dyDescent="0.25">
      <c r="L95" s="175"/>
      <c r="M95" s="175"/>
      <c r="N95" s="175"/>
      <c r="O95" s="175"/>
    </row>
    <row r="96" spans="12:15" s="43" customFormat="1" x14ac:dyDescent="0.25">
      <c r="L96" s="175"/>
      <c r="M96" s="175"/>
      <c r="N96" s="175"/>
      <c r="O96" s="175"/>
    </row>
    <row r="97" spans="12:15" s="43" customFormat="1" x14ac:dyDescent="0.25">
      <c r="L97" s="175"/>
      <c r="M97" s="175"/>
      <c r="N97" s="175"/>
      <c r="O97" s="175"/>
    </row>
    <row r="98" spans="12:15" s="43" customFormat="1" x14ac:dyDescent="0.25">
      <c r="L98" s="175"/>
      <c r="M98" s="175"/>
      <c r="N98" s="175"/>
      <c r="O98" s="175"/>
    </row>
    <row r="99" spans="12:15" s="43" customFormat="1" x14ac:dyDescent="0.25">
      <c r="L99" s="175"/>
      <c r="M99" s="175"/>
      <c r="N99" s="175"/>
      <c r="O99" s="175"/>
    </row>
    <row r="100" spans="12:15" s="43" customFormat="1" x14ac:dyDescent="0.25">
      <c r="L100" s="175"/>
      <c r="M100" s="175"/>
      <c r="N100" s="175"/>
      <c r="O100" s="175"/>
    </row>
    <row r="101" spans="12:15" s="43" customFormat="1" x14ac:dyDescent="0.25">
      <c r="L101" s="175"/>
      <c r="M101" s="175"/>
      <c r="N101" s="175"/>
      <c r="O101" s="175"/>
    </row>
    <row r="102" spans="12:15" s="43" customFormat="1" x14ac:dyDescent="0.25">
      <c r="L102" s="175"/>
      <c r="M102" s="175"/>
      <c r="N102" s="175"/>
      <c r="O102" s="175"/>
    </row>
    <row r="103" spans="12:15" s="43" customFormat="1" x14ac:dyDescent="0.25">
      <c r="L103" s="175"/>
      <c r="M103" s="175"/>
      <c r="N103" s="175"/>
      <c r="O103" s="175"/>
    </row>
    <row r="104" spans="12:15" s="43" customFormat="1" x14ac:dyDescent="0.25">
      <c r="L104" s="175"/>
      <c r="M104" s="175"/>
      <c r="N104" s="175"/>
      <c r="O104" s="175"/>
    </row>
    <row r="105" spans="12:15" s="43" customFormat="1" x14ac:dyDescent="0.25">
      <c r="L105" s="175"/>
      <c r="M105" s="175"/>
      <c r="N105" s="175"/>
      <c r="O105" s="175"/>
    </row>
    <row r="106" spans="12:15" s="43" customFormat="1" x14ac:dyDescent="0.25">
      <c r="L106" s="175"/>
      <c r="M106" s="175"/>
      <c r="N106" s="175"/>
      <c r="O106" s="175"/>
    </row>
    <row r="107" spans="12:15" s="43" customFormat="1" x14ac:dyDescent="0.25">
      <c r="L107" s="175"/>
      <c r="M107" s="175"/>
      <c r="N107" s="175"/>
      <c r="O107" s="175"/>
    </row>
    <row r="108" spans="12:15" s="43" customFormat="1" x14ac:dyDescent="0.25">
      <c r="L108" s="175"/>
      <c r="M108" s="175"/>
      <c r="N108" s="175"/>
      <c r="O108" s="175"/>
    </row>
    <row r="109" spans="12:15" s="43" customFormat="1" x14ac:dyDescent="0.25">
      <c r="L109" s="175"/>
      <c r="M109" s="175"/>
      <c r="N109" s="175"/>
      <c r="O109" s="175"/>
    </row>
    <row r="110" spans="12:15" s="43" customFormat="1" x14ac:dyDescent="0.25">
      <c r="L110" s="175"/>
      <c r="M110" s="175"/>
      <c r="N110" s="175"/>
      <c r="O110" s="175"/>
    </row>
    <row r="111" spans="12:15" s="43" customFormat="1" x14ac:dyDescent="0.25">
      <c r="L111" s="175"/>
      <c r="M111" s="175"/>
      <c r="N111" s="175"/>
      <c r="O111" s="175"/>
    </row>
    <row r="112" spans="12:15" s="43" customFormat="1" x14ac:dyDescent="0.25">
      <c r="L112" s="175"/>
      <c r="M112" s="175"/>
      <c r="N112" s="175"/>
      <c r="O112" s="175"/>
    </row>
    <row r="113" spans="12:15" s="43" customFormat="1" x14ac:dyDescent="0.25">
      <c r="L113" s="175"/>
      <c r="M113" s="175"/>
      <c r="N113" s="175"/>
      <c r="O113" s="175"/>
    </row>
    <row r="114" spans="12:15" s="43" customFormat="1" x14ac:dyDescent="0.25">
      <c r="L114" s="175"/>
      <c r="M114" s="175"/>
      <c r="N114" s="175"/>
      <c r="O114" s="175"/>
    </row>
    <row r="115" spans="12:15" s="43" customFormat="1" x14ac:dyDescent="0.25">
      <c r="L115" s="175"/>
      <c r="M115" s="175"/>
      <c r="N115" s="175"/>
      <c r="O115" s="175"/>
    </row>
    <row r="116" spans="12:15" s="43" customFormat="1" x14ac:dyDescent="0.25">
      <c r="L116" s="175"/>
      <c r="M116" s="175"/>
      <c r="N116" s="175"/>
      <c r="O116" s="175"/>
    </row>
    <row r="117" spans="12:15" s="43" customFormat="1" x14ac:dyDescent="0.25">
      <c r="L117" s="175"/>
      <c r="M117" s="175"/>
      <c r="N117" s="175"/>
      <c r="O117" s="175"/>
    </row>
    <row r="118" spans="12:15" s="43" customFormat="1" x14ac:dyDescent="0.25">
      <c r="L118" s="175"/>
      <c r="M118" s="175"/>
      <c r="N118" s="175"/>
      <c r="O118" s="175"/>
    </row>
    <row r="119" spans="12:15" s="43" customFormat="1" x14ac:dyDescent="0.25">
      <c r="L119" s="175"/>
      <c r="M119" s="175"/>
      <c r="N119" s="175"/>
      <c r="O119" s="175"/>
    </row>
    <row r="120" spans="12:15" s="43" customFormat="1" x14ac:dyDescent="0.25">
      <c r="L120" s="175"/>
      <c r="M120" s="175"/>
      <c r="N120" s="175"/>
      <c r="O120" s="175"/>
    </row>
    <row r="121" spans="12:15" s="43" customFormat="1" x14ac:dyDescent="0.25">
      <c r="L121" s="175"/>
      <c r="M121" s="175"/>
      <c r="N121" s="175"/>
      <c r="O121" s="175"/>
    </row>
    <row r="122" spans="12:15" s="43" customFormat="1" x14ac:dyDescent="0.25">
      <c r="L122" s="175"/>
      <c r="M122" s="175"/>
      <c r="N122" s="175"/>
      <c r="O122" s="175"/>
    </row>
    <row r="123" spans="12:15" s="43" customFormat="1" x14ac:dyDescent="0.25">
      <c r="L123" s="175"/>
      <c r="M123" s="175"/>
      <c r="N123" s="175"/>
      <c r="O123" s="175"/>
    </row>
    <row r="124" spans="12:15" s="43" customFormat="1" x14ac:dyDescent="0.25">
      <c r="L124" s="175"/>
      <c r="M124" s="175"/>
      <c r="N124" s="175"/>
      <c r="O124" s="175"/>
    </row>
    <row r="125" spans="12:15" s="43" customFormat="1" x14ac:dyDescent="0.25">
      <c r="L125" s="175"/>
      <c r="M125" s="175"/>
      <c r="N125" s="175"/>
      <c r="O125" s="175"/>
    </row>
    <row r="126" spans="12:15" s="43" customFormat="1" x14ac:dyDescent="0.25">
      <c r="L126" s="175"/>
      <c r="M126" s="175"/>
      <c r="N126" s="175"/>
      <c r="O126" s="175"/>
    </row>
    <row r="127" spans="12:15" s="43" customFormat="1" x14ac:dyDescent="0.25">
      <c r="L127" s="175"/>
      <c r="M127" s="175"/>
      <c r="N127" s="175"/>
      <c r="O127" s="175"/>
    </row>
    <row r="128" spans="12:15" s="43" customFormat="1" x14ac:dyDescent="0.25">
      <c r="L128" s="175"/>
      <c r="M128" s="175"/>
      <c r="N128" s="175"/>
      <c r="O128" s="175"/>
    </row>
    <row r="129" spans="12:15" s="43" customFormat="1" x14ac:dyDescent="0.25">
      <c r="L129" s="175"/>
      <c r="M129" s="175"/>
      <c r="N129" s="175"/>
      <c r="O129" s="175"/>
    </row>
    <row r="130" spans="12:15" s="43" customFormat="1" x14ac:dyDescent="0.25">
      <c r="L130" s="175"/>
      <c r="M130" s="175"/>
      <c r="N130" s="175"/>
      <c r="O130" s="175"/>
    </row>
    <row r="131" spans="12:15" s="43" customFormat="1" x14ac:dyDescent="0.25">
      <c r="L131" s="175"/>
      <c r="M131" s="175"/>
      <c r="N131" s="175"/>
      <c r="O131" s="175"/>
    </row>
    <row r="132" spans="12:15" s="43" customFormat="1" x14ac:dyDescent="0.25">
      <c r="L132" s="175"/>
      <c r="M132" s="175"/>
      <c r="N132" s="175"/>
      <c r="O132" s="175"/>
    </row>
    <row r="133" spans="12:15" s="43" customFormat="1" x14ac:dyDescent="0.25">
      <c r="L133" s="175"/>
      <c r="M133" s="175"/>
      <c r="N133" s="175"/>
      <c r="O133" s="175"/>
    </row>
    <row r="134" spans="12:15" s="43" customFormat="1" x14ac:dyDescent="0.25">
      <c r="L134" s="175"/>
      <c r="M134" s="175"/>
      <c r="N134" s="175"/>
      <c r="O134" s="175"/>
    </row>
    <row r="135" spans="12:15" s="43" customFormat="1" x14ac:dyDescent="0.25">
      <c r="L135" s="175"/>
      <c r="M135" s="175"/>
      <c r="N135" s="175"/>
      <c r="O135" s="175"/>
    </row>
    <row r="136" spans="12:15" s="43" customFormat="1" x14ac:dyDescent="0.25">
      <c r="L136" s="175"/>
      <c r="M136" s="175"/>
      <c r="N136" s="175"/>
      <c r="O136" s="175"/>
    </row>
    <row r="137" spans="12:15" s="43" customFormat="1" x14ac:dyDescent="0.25">
      <c r="L137" s="175"/>
      <c r="M137" s="175"/>
      <c r="N137" s="175"/>
      <c r="O137" s="175"/>
    </row>
    <row r="138" spans="12:15" s="43" customFormat="1" x14ac:dyDescent="0.25">
      <c r="L138" s="175"/>
      <c r="M138" s="175"/>
      <c r="N138" s="175"/>
      <c r="O138" s="175"/>
    </row>
    <row r="139" spans="12:15" s="43" customFormat="1" x14ac:dyDescent="0.25">
      <c r="L139" s="175"/>
      <c r="M139" s="175"/>
      <c r="N139" s="175"/>
      <c r="O139" s="175"/>
    </row>
    <row r="140" spans="12:15" s="43" customFormat="1" x14ac:dyDescent="0.25">
      <c r="L140" s="175"/>
      <c r="M140" s="175"/>
      <c r="N140" s="175"/>
      <c r="O140" s="175"/>
    </row>
    <row r="141" spans="12:15" s="43" customFormat="1" x14ac:dyDescent="0.25">
      <c r="L141" s="175"/>
      <c r="M141" s="175"/>
      <c r="N141" s="175"/>
      <c r="O141" s="175"/>
    </row>
    <row r="142" spans="12:15" s="43" customFormat="1" x14ac:dyDescent="0.25">
      <c r="L142" s="175"/>
      <c r="M142" s="175"/>
      <c r="N142" s="175"/>
      <c r="O142" s="175"/>
    </row>
    <row r="143" spans="12:15" s="43" customFormat="1" x14ac:dyDescent="0.25">
      <c r="L143" s="175"/>
      <c r="M143" s="175"/>
      <c r="N143" s="175"/>
      <c r="O143" s="175"/>
    </row>
    <row r="144" spans="12:15" s="43" customFormat="1" x14ac:dyDescent="0.25">
      <c r="L144" s="175"/>
      <c r="M144" s="175"/>
      <c r="N144" s="175"/>
      <c r="O144" s="175"/>
    </row>
    <row r="145" spans="12:15" s="43" customFormat="1" x14ac:dyDescent="0.25">
      <c r="L145" s="175"/>
      <c r="M145" s="175"/>
      <c r="N145" s="175"/>
      <c r="O145" s="175"/>
    </row>
    <row r="146" spans="12:15" s="43" customFormat="1" x14ac:dyDescent="0.25">
      <c r="L146" s="175"/>
      <c r="M146" s="175"/>
      <c r="N146" s="175"/>
      <c r="O146" s="175"/>
    </row>
    <row r="147" spans="12:15" s="43" customFormat="1" x14ac:dyDescent="0.25">
      <c r="L147" s="175"/>
      <c r="M147" s="175"/>
      <c r="N147" s="175"/>
      <c r="O147" s="175"/>
    </row>
    <row r="148" spans="12:15" s="43" customFormat="1" x14ac:dyDescent="0.25">
      <c r="L148" s="175"/>
      <c r="M148" s="175"/>
      <c r="N148" s="175"/>
      <c r="O148" s="175"/>
    </row>
    <row r="149" spans="12:15" s="43" customFormat="1" x14ac:dyDescent="0.25">
      <c r="L149" s="175"/>
      <c r="M149" s="175"/>
      <c r="N149" s="175"/>
      <c r="O149" s="175"/>
    </row>
    <row r="150" spans="12:15" s="43" customFormat="1" x14ac:dyDescent="0.25">
      <c r="L150" s="175"/>
      <c r="M150" s="175"/>
      <c r="N150" s="175"/>
      <c r="O150" s="175"/>
    </row>
    <row r="151" spans="12:15" s="43" customFormat="1" x14ac:dyDescent="0.25">
      <c r="L151" s="175"/>
      <c r="M151" s="175"/>
      <c r="N151" s="175"/>
      <c r="O151" s="175"/>
    </row>
    <row r="152" spans="12:15" s="43" customFormat="1" x14ac:dyDescent="0.25">
      <c r="L152" s="175"/>
      <c r="M152" s="175"/>
      <c r="N152" s="175"/>
      <c r="O152" s="175"/>
    </row>
    <row r="153" spans="12:15" s="43" customFormat="1" x14ac:dyDescent="0.25">
      <c r="L153" s="175"/>
      <c r="M153" s="175"/>
      <c r="N153" s="175"/>
      <c r="O153" s="175"/>
    </row>
    <row r="154" spans="12:15" s="43" customFormat="1" x14ac:dyDescent="0.25">
      <c r="L154" s="175"/>
      <c r="M154" s="175"/>
      <c r="N154" s="175"/>
      <c r="O154" s="175"/>
    </row>
    <row r="155" spans="12:15" s="43" customFormat="1" x14ac:dyDescent="0.25">
      <c r="L155" s="175"/>
      <c r="M155" s="175"/>
      <c r="N155" s="175"/>
      <c r="O155" s="175"/>
    </row>
    <row r="156" spans="12:15" s="43" customFormat="1" x14ac:dyDescent="0.25">
      <c r="L156" s="175"/>
      <c r="M156" s="175"/>
      <c r="N156" s="175"/>
      <c r="O156" s="175"/>
    </row>
    <row r="157" spans="12:15" s="43" customFormat="1" x14ac:dyDescent="0.25">
      <c r="L157" s="175"/>
      <c r="M157" s="175"/>
      <c r="N157" s="175"/>
      <c r="O157" s="175"/>
    </row>
    <row r="158" spans="12:15" s="43" customFormat="1" x14ac:dyDescent="0.25">
      <c r="L158" s="175"/>
      <c r="M158" s="175"/>
      <c r="N158" s="175"/>
      <c r="O158" s="175"/>
    </row>
    <row r="159" spans="12:15" s="43" customFormat="1" x14ac:dyDescent="0.25">
      <c r="L159" s="175"/>
      <c r="M159" s="175"/>
      <c r="N159" s="175"/>
      <c r="O159" s="175"/>
    </row>
    <row r="160" spans="12:15" s="43" customFormat="1" x14ac:dyDescent="0.25">
      <c r="L160" s="175"/>
      <c r="M160" s="175"/>
      <c r="N160" s="175"/>
      <c r="O160" s="175"/>
    </row>
    <row r="161" spans="12:15" s="43" customFormat="1" x14ac:dyDescent="0.25">
      <c r="L161" s="175"/>
      <c r="M161" s="175"/>
      <c r="N161" s="175"/>
      <c r="O161" s="175"/>
    </row>
    <row r="162" spans="12:15" s="43" customFormat="1" x14ac:dyDescent="0.25">
      <c r="L162" s="175"/>
      <c r="M162" s="175"/>
      <c r="N162" s="175"/>
      <c r="O162" s="175"/>
    </row>
    <row r="163" spans="12:15" s="43" customFormat="1" x14ac:dyDescent="0.25">
      <c r="L163" s="175"/>
      <c r="M163" s="175"/>
      <c r="N163" s="175"/>
      <c r="O163" s="175"/>
    </row>
    <row r="164" spans="12:15" s="43" customFormat="1" x14ac:dyDescent="0.25">
      <c r="L164" s="175"/>
      <c r="M164" s="175"/>
      <c r="N164" s="175"/>
      <c r="O164" s="175"/>
    </row>
    <row r="165" spans="12:15" s="43" customFormat="1" x14ac:dyDescent="0.25">
      <c r="L165" s="175"/>
      <c r="M165" s="175"/>
      <c r="N165" s="175"/>
      <c r="O165" s="175"/>
    </row>
    <row r="166" spans="12:15" s="43" customFormat="1" x14ac:dyDescent="0.25">
      <c r="L166" s="175"/>
      <c r="M166" s="175"/>
      <c r="N166" s="175"/>
      <c r="O166" s="175"/>
    </row>
    <row r="167" spans="12:15" s="43" customFormat="1" x14ac:dyDescent="0.25">
      <c r="L167" s="175"/>
      <c r="M167" s="175"/>
      <c r="N167" s="175"/>
      <c r="O167" s="175"/>
    </row>
    <row r="168" spans="12:15" s="43" customFormat="1" x14ac:dyDescent="0.25">
      <c r="L168" s="175"/>
      <c r="M168" s="175"/>
      <c r="N168" s="175"/>
      <c r="O168" s="175"/>
    </row>
    <row r="169" spans="12:15" s="43" customFormat="1" x14ac:dyDescent="0.25">
      <c r="L169" s="175"/>
      <c r="M169" s="175"/>
      <c r="N169" s="175"/>
      <c r="O169" s="175"/>
    </row>
    <row r="170" spans="12:15" s="43" customFormat="1" x14ac:dyDescent="0.25">
      <c r="L170" s="175"/>
      <c r="M170" s="175"/>
      <c r="N170" s="175"/>
      <c r="O170" s="175"/>
    </row>
    <row r="171" spans="12:15" s="43" customFormat="1" x14ac:dyDescent="0.25">
      <c r="L171" s="175"/>
      <c r="M171" s="175"/>
      <c r="N171" s="175"/>
      <c r="O171" s="175"/>
    </row>
    <row r="172" spans="12:15" s="43" customFormat="1" x14ac:dyDescent="0.25">
      <c r="L172" s="175"/>
      <c r="M172" s="175"/>
      <c r="N172" s="175"/>
      <c r="O172" s="175"/>
    </row>
    <row r="173" spans="12:15" s="43" customFormat="1" x14ac:dyDescent="0.25">
      <c r="L173" s="175"/>
      <c r="M173" s="175"/>
      <c r="N173" s="175"/>
      <c r="O173" s="175"/>
    </row>
    <row r="174" spans="12:15" s="43" customFormat="1" x14ac:dyDescent="0.25">
      <c r="L174" s="175"/>
      <c r="M174" s="175"/>
      <c r="N174" s="175"/>
      <c r="O174" s="175"/>
    </row>
    <row r="175" spans="12:15" s="43" customFormat="1" x14ac:dyDescent="0.25">
      <c r="L175" s="175"/>
      <c r="M175" s="175"/>
      <c r="N175" s="175"/>
      <c r="O175" s="175"/>
    </row>
    <row r="176" spans="12:15" s="43" customFormat="1" x14ac:dyDescent="0.25">
      <c r="L176" s="175"/>
      <c r="M176" s="175"/>
      <c r="N176" s="175"/>
      <c r="O176" s="175"/>
    </row>
    <row r="177" spans="12:15" s="43" customFormat="1" x14ac:dyDescent="0.25">
      <c r="L177" s="175"/>
      <c r="M177" s="175"/>
      <c r="N177" s="175"/>
      <c r="O177" s="175"/>
    </row>
    <row r="178" spans="12:15" s="43" customFormat="1" x14ac:dyDescent="0.25">
      <c r="L178" s="175"/>
      <c r="M178" s="175"/>
      <c r="N178" s="175"/>
      <c r="O178" s="175"/>
    </row>
    <row r="179" spans="12:15" s="43" customFormat="1" x14ac:dyDescent="0.25">
      <c r="L179" s="175"/>
      <c r="M179" s="175"/>
      <c r="N179" s="175"/>
      <c r="O179" s="175"/>
    </row>
    <row r="180" spans="12:15" s="43" customFormat="1" x14ac:dyDescent="0.25">
      <c r="L180" s="175"/>
      <c r="M180" s="175"/>
      <c r="N180" s="175"/>
      <c r="O180" s="175"/>
    </row>
    <row r="181" spans="12:15" s="43" customFormat="1" x14ac:dyDescent="0.25">
      <c r="L181" s="175"/>
      <c r="M181" s="175"/>
      <c r="N181" s="175"/>
      <c r="O181" s="175"/>
    </row>
    <row r="182" spans="12:15" s="43" customFormat="1" x14ac:dyDescent="0.25">
      <c r="L182" s="175"/>
      <c r="M182" s="175"/>
      <c r="N182" s="175"/>
      <c r="O182" s="175"/>
    </row>
    <row r="183" spans="12:15" s="43" customFormat="1" x14ac:dyDescent="0.25">
      <c r="L183" s="175"/>
      <c r="M183" s="175"/>
      <c r="N183" s="175"/>
      <c r="O183" s="175"/>
    </row>
    <row r="184" spans="12:15" s="43" customFormat="1" x14ac:dyDescent="0.25">
      <c r="L184" s="175"/>
      <c r="M184" s="175"/>
      <c r="N184" s="175"/>
      <c r="O184" s="175"/>
    </row>
    <row r="185" spans="12:15" s="43" customFormat="1" x14ac:dyDescent="0.25">
      <c r="L185" s="175"/>
      <c r="M185" s="175"/>
      <c r="N185" s="175"/>
      <c r="O185" s="175"/>
    </row>
    <row r="186" spans="12:15" s="43" customFormat="1" x14ac:dyDescent="0.25">
      <c r="L186" s="175"/>
      <c r="M186" s="175"/>
      <c r="N186" s="175"/>
      <c r="O186" s="175"/>
    </row>
    <row r="187" spans="12:15" s="43" customFormat="1" x14ac:dyDescent="0.25">
      <c r="L187" s="175"/>
      <c r="M187" s="175"/>
      <c r="N187" s="175"/>
      <c r="O187" s="175"/>
    </row>
    <row r="188" spans="12:15" s="43" customFormat="1" x14ac:dyDescent="0.25">
      <c r="L188" s="175"/>
      <c r="M188" s="175"/>
      <c r="N188" s="175"/>
      <c r="O188" s="175"/>
    </row>
    <row r="189" spans="12:15" s="43" customFormat="1" x14ac:dyDescent="0.25">
      <c r="L189" s="175"/>
      <c r="M189" s="175"/>
      <c r="N189" s="175"/>
      <c r="O189" s="175"/>
    </row>
    <row r="190" spans="12:15" s="43" customFormat="1" x14ac:dyDescent="0.25">
      <c r="L190" s="175"/>
      <c r="M190" s="175"/>
      <c r="N190" s="175"/>
      <c r="O190" s="175"/>
    </row>
    <row r="191" spans="12:15" s="43" customFormat="1" x14ac:dyDescent="0.25">
      <c r="L191" s="175"/>
      <c r="M191" s="175"/>
      <c r="N191" s="175"/>
      <c r="O191" s="175"/>
    </row>
    <row r="192" spans="12:15" s="43" customFormat="1" x14ac:dyDescent="0.25">
      <c r="L192" s="175"/>
      <c r="M192" s="175"/>
      <c r="N192" s="175"/>
      <c r="O192" s="175"/>
    </row>
    <row r="193" spans="12:15" s="43" customFormat="1" x14ac:dyDescent="0.25">
      <c r="L193" s="175"/>
      <c r="M193" s="175"/>
      <c r="N193" s="175"/>
      <c r="O193" s="175"/>
    </row>
    <row r="194" spans="12:15" s="43" customFormat="1" x14ac:dyDescent="0.25">
      <c r="L194" s="175"/>
      <c r="M194" s="175"/>
      <c r="N194" s="175"/>
      <c r="O194" s="175"/>
    </row>
    <row r="195" spans="12:15" s="43" customFormat="1" x14ac:dyDescent="0.25">
      <c r="L195" s="175"/>
      <c r="M195" s="175"/>
      <c r="N195" s="175"/>
      <c r="O195" s="175"/>
    </row>
    <row r="196" spans="12:15" s="43" customFormat="1" x14ac:dyDescent="0.25">
      <c r="L196" s="175"/>
      <c r="M196" s="175"/>
      <c r="N196" s="175"/>
      <c r="O196" s="175"/>
    </row>
    <row r="197" spans="12:15" s="43" customFormat="1" x14ac:dyDescent="0.25">
      <c r="L197" s="175"/>
      <c r="M197" s="175"/>
      <c r="N197" s="175"/>
      <c r="O197" s="175"/>
    </row>
    <row r="198" spans="12:15" s="43" customFormat="1" x14ac:dyDescent="0.25">
      <c r="L198" s="175"/>
      <c r="M198" s="175"/>
      <c r="N198" s="175"/>
      <c r="O198" s="175"/>
    </row>
    <row r="199" spans="12:15" s="43" customFormat="1" x14ac:dyDescent="0.25">
      <c r="L199" s="175"/>
      <c r="M199" s="175"/>
      <c r="N199" s="175"/>
      <c r="O199" s="175"/>
    </row>
    <row r="200" spans="12:15" s="43" customFormat="1" x14ac:dyDescent="0.25">
      <c r="L200" s="175"/>
      <c r="M200" s="175"/>
      <c r="N200" s="175"/>
      <c r="O200" s="175"/>
    </row>
    <row r="201" spans="12:15" s="43" customFormat="1" x14ac:dyDescent="0.25">
      <c r="L201" s="175"/>
      <c r="M201" s="175"/>
      <c r="N201" s="175"/>
      <c r="O201" s="175"/>
    </row>
    <row r="202" spans="12:15" s="43" customFormat="1" x14ac:dyDescent="0.25">
      <c r="L202" s="175"/>
      <c r="M202" s="175"/>
      <c r="N202" s="175"/>
      <c r="O202" s="175"/>
    </row>
    <row r="203" spans="12:15" s="43" customFormat="1" x14ac:dyDescent="0.25">
      <c r="L203" s="175"/>
      <c r="M203" s="175"/>
      <c r="N203" s="175"/>
      <c r="O203" s="175"/>
    </row>
    <row r="204" spans="12:15" s="43" customFormat="1" x14ac:dyDescent="0.25">
      <c r="L204" s="175"/>
      <c r="M204" s="175"/>
      <c r="N204" s="175"/>
      <c r="O204" s="175"/>
    </row>
    <row r="205" spans="12:15" s="43" customFormat="1" x14ac:dyDescent="0.25">
      <c r="L205" s="175"/>
      <c r="M205" s="175"/>
      <c r="N205" s="175"/>
      <c r="O205" s="175"/>
    </row>
    <row r="206" spans="12:15" s="43" customFormat="1" x14ac:dyDescent="0.25">
      <c r="L206" s="175"/>
      <c r="M206" s="175"/>
      <c r="N206" s="175"/>
      <c r="O206" s="175"/>
    </row>
    <row r="207" spans="12:15" s="43" customFormat="1" x14ac:dyDescent="0.25">
      <c r="L207" s="175"/>
      <c r="M207" s="175"/>
      <c r="N207" s="175"/>
      <c r="O207" s="175"/>
    </row>
    <row r="208" spans="12:15" s="43" customFormat="1" x14ac:dyDescent="0.25">
      <c r="L208" s="175"/>
      <c r="M208" s="175"/>
      <c r="N208" s="175"/>
      <c r="O208" s="175"/>
    </row>
    <row r="209" spans="12:15" s="43" customFormat="1" x14ac:dyDescent="0.25">
      <c r="L209" s="175"/>
      <c r="M209" s="175"/>
      <c r="N209" s="175"/>
      <c r="O209" s="175"/>
    </row>
    <row r="210" spans="12:15" s="43" customFormat="1" x14ac:dyDescent="0.25">
      <c r="L210" s="175"/>
      <c r="M210" s="175"/>
      <c r="N210" s="175"/>
      <c r="O210" s="175"/>
    </row>
    <row r="211" spans="12:15" s="43" customFormat="1" x14ac:dyDescent="0.25">
      <c r="L211" s="175"/>
      <c r="M211" s="175"/>
      <c r="N211" s="175"/>
      <c r="O211" s="175"/>
    </row>
    <row r="212" spans="12:15" s="43" customFormat="1" x14ac:dyDescent="0.25">
      <c r="L212" s="175"/>
      <c r="M212" s="175"/>
      <c r="N212" s="175"/>
      <c r="O212" s="175"/>
    </row>
    <row r="213" spans="12:15" s="43" customFormat="1" x14ac:dyDescent="0.25">
      <c r="L213" s="175"/>
      <c r="M213" s="175"/>
      <c r="N213" s="175"/>
      <c r="O213" s="175"/>
    </row>
    <row r="214" spans="12:15" s="43" customFormat="1" x14ac:dyDescent="0.25">
      <c r="L214" s="175"/>
      <c r="M214" s="175"/>
      <c r="N214" s="175"/>
      <c r="O214" s="175"/>
    </row>
    <row r="215" spans="12:15" s="43" customFormat="1" x14ac:dyDescent="0.25">
      <c r="L215" s="175"/>
      <c r="M215" s="175"/>
      <c r="N215" s="175"/>
      <c r="O215" s="175"/>
    </row>
    <row r="216" spans="12:15" s="43" customFormat="1" x14ac:dyDescent="0.25">
      <c r="L216" s="175"/>
      <c r="M216" s="175"/>
      <c r="N216" s="175"/>
      <c r="O216" s="175"/>
    </row>
    <row r="217" spans="12:15" s="43" customFormat="1" x14ac:dyDescent="0.25">
      <c r="L217" s="175"/>
      <c r="M217" s="175"/>
      <c r="N217" s="175"/>
      <c r="O217" s="175"/>
    </row>
    <row r="218" spans="12:15" s="43" customFormat="1" x14ac:dyDescent="0.25">
      <c r="L218" s="175"/>
      <c r="M218" s="175"/>
      <c r="N218" s="175"/>
      <c r="O218" s="175"/>
    </row>
    <row r="219" spans="12:15" s="43" customFormat="1" x14ac:dyDescent="0.25">
      <c r="L219" s="175"/>
      <c r="M219" s="175"/>
      <c r="N219" s="175"/>
      <c r="O219" s="175"/>
    </row>
    <row r="220" spans="12:15" s="43" customFormat="1" x14ac:dyDescent="0.25">
      <c r="L220" s="175"/>
      <c r="M220" s="175"/>
      <c r="N220" s="175"/>
      <c r="O220" s="175"/>
    </row>
    <row r="221" spans="12:15" s="43" customFormat="1" x14ac:dyDescent="0.25">
      <c r="L221" s="175"/>
      <c r="M221" s="175"/>
      <c r="N221" s="175"/>
      <c r="O221" s="175"/>
    </row>
    <row r="222" spans="12:15" s="43" customFormat="1" x14ac:dyDescent="0.25">
      <c r="L222" s="175"/>
      <c r="M222" s="175"/>
      <c r="N222" s="175"/>
      <c r="O222" s="175"/>
    </row>
    <row r="223" spans="12:15" s="43" customFormat="1" x14ac:dyDescent="0.25">
      <c r="L223" s="175"/>
      <c r="M223" s="175"/>
      <c r="N223" s="175"/>
      <c r="O223" s="175"/>
    </row>
    <row r="224" spans="12:15" s="43" customFormat="1" x14ac:dyDescent="0.25">
      <c r="L224" s="175"/>
      <c r="M224" s="175"/>
      <c r="N224" s="175"/>
      <c r="O224" s="175"/>
    </row>
    <row r="225" spans="12:15" s="43" customFormat="1" x14ac:dyDescent="0.25">
      <c r="L225" s="175"/>
      <c r="M225" s="175"/>
      <c r="N225" s="175"/>
      <c r="O225" s="175"/>
    </row>
    <row r="226" spans="12:15" s="43" customFormat="1" x14ac:dyDescent="0.25">
      <c r="L226" s="175"/>
      <c r="M226" s="175"/>
      <c r="N226" s="175"/>
      <c r="O226" s="175"/>
    </row>
    <row r="227" spans="12:15" s="43" customFormat="1" x14ac:dyDescent="0.25">
      <c r="L227" s="175"/>
      <c r="M227" s="175"/>
      <c r="N227" s="175"/>
      <c r="O227" s="175"/>
    </row>
    <row r="228" spans="12:15" s="43" customFormat="1" x14ac:dyDescent="0.25">
      <c r="L228" s="175"/>
      <c r="M228" s="175"/>
      <c r="N228" s="175"/>
      <c r="O228" s="175"/>
    </row>
    <row r="229" spans="12:15" s="43" customFormat="1" x14ac:dyDescent="0.25">
      <c r="L229" s="175"/>
      <c r="M229" s="175"/>
      <c r="N229" s="175"/>
      <c r="O229" s="175"/>
    </row>
    <row r="230" spans="12:15" s="43" customFormat="1" x14ac:dyDescent="0.25">
      <c r="L230" s="175"/>
      <c r="M230" s="175"/>
      <c r="N230" s="175"/>
      <c r="O230" s="175"/>
    </row>
    <row r="231" spans="12:15" s="43" customFormat="1" x14ac:dyDescent="0.25">
      <c r="L231" s="175"/>
      <c r="M231" s="175"/>
      <c r="N231" s="175"/>
      <c r="O231" s="175"/>
    </row>
    <row r="232" spans="12:15" s="43" customFormat="1" x14ac:dyDescent="0.25">
      <c r="L232" s="175"/>
      <c r="M232" s="175"/>
      <c r="N232" s="175"/>
      <c r="O232" s="175"/>
    </row>
    <row r="233" spans="12:15" s="43" customFormat="1" x14ac:dyDescent="0.25">
      <c r="L233" s="175"/>
      <c r="M233" s="175"/>
      <c r="N233" s="175"/>
      <c r="O233" s="175"/>
    </row>
    <row r="234" spans="12:15" s="43" customFormat="1" x14ac:dyDescent="0.25">
      <c r="L234" s="175"/>
      <c r="M234" s="175"/>
      <c r="N234" s="175"/>
      <c r="O234" s="175"/>
    </row>
    <row r="235" spans="12:15" s="43" customFormat="1" x14ac:dyDescent="0.25">
      <c r="L235" s="175"/>
      <c r="M235" s="175"/>
      <c r="N235" s="175"/>
      <c r="O235" s="175"/>
    </row>
    <row r="236" spans="12:15" s="43" customFormat="1" x14ac:dyDescent="0.25">
      <c r="L236" s="175"/>
      <c r="M236" s="175"/>
      <c r="N236" s="175"/>
      <c r="O236" s="175"/>
    </row>
    <row r="237" spans="12:15" s="43" customFormat="1" x14ac:dyDescent="0.25">
      <c r="L237" s="175"/>
      <c r="M237" s="175"/>
      <c r="N237" s="175"/>
      <c r="O237" s="175"/>
    </row>
    <row r="238" spans="12:15" s="43" customFormat="1" x14ac:dyDescent="0.25">
      <c r="L238" s="175"/>
      <c r="M238" s="175"/>
      <c r="N238" s="175"/>
      <c r="O238" s="175"/>
    </row>
    <row r="239" spans="12:15" s="43" customFormat="1" x14ac:dyDescent="0.25">
      <c r="L239" s="175"/>
      <c r="M239" s="175"/>
      <c r="N239" s="175"/>
      <c r="O239" s="175"/>
    </row>
    <row r="240" spans="12:15" s="43" customFormat="1" x14ac:dyDescent="0.25">
      <c r="L240" s="175"/>
      <c r="M240" s="175"/>
      <c r="N240" s="175"/>
      <c r="O240" s="175"/>
    </row>
    <row r="241" spans="12:15" s="43" customFormat="1" x14ac:dyDescent="0.25">
      <c r="L241" s="175"/>
      <c r="M241" s="175"/>
      <c r="N241" s="175"/>
      <c r="O241" s="175"/>
    </row>
    <row r="242" spans="12:15" s="43" customFormat="1" x14ac:dyDescent="0.25">
      <c r="L242" s="175"/>
      <c r="M242" s="175"/>
      <c r="N242" s="175"/>
      <c r="O242" s="175"/>
    </row>
    <row r="243" spans="12:15" s="43" customFormat="1" x14ac:dyDescent="0.25">
      <c r="L243" s="175"/>
      <c r="M243" s="175"/>
      <c r="N243" s="175"/>
      <c r="O243" s="175"/>
    </row>
    <row r="244" spans="12:15" s="43" customFormat="1" x14ac:dyDescent="0.25">
      <c r="L244" s="175"/>
      <c r="M244" s="175"/>
      <c r="N244" s="175"/>
      <c r="O244" s="175"/>
    </row>
    <row r="245" spans="12:15" s="43" customFormat="1" x14ac:dyDescent="0.25">
      <c r="L245" s="175"/>
      <c r="M245" s="175"/>
      <c r="N245" s="175"/>
      <c r="O245" s="175"/>
    </row>
    <row r="246" spans="12:15" s="43" customFormat="1" x14ac:dyDescent="0.25">
      <c r="L246" s="175"/>
      <c r="M246" s="175"/>
      <c r="N246" s="175"/>
      <c r="O246" s="175"/>
    </row>
    <row r="247" spans="12:15" s="43" customFormat="1" x14ac:dyDescent="0.25">
      <c r="L247" s="175"/>
      <c r="M247" s="175"/>
      <c r="N247" s="175"/>
      <c r="O247" s="175"/>
    </row>
    <row r="248" spans="12:15" s="43" customFormat="1" x14ac:dyDescent="0.25">
      <c r="L248" s="175"/>
      <c r="M248" s="175"/>
      <c r="N248" s="175"/>
      <c r="O248" s="175"/>
    </row>
    <row r="249" spans="12:15" s="43" customFormat="1" x14ac:dyDescent="0.25">
      <c r="L249" s="175"/>
      <c r="M249" s="175"/>
      <c r="N249" s="175"/>
      <c r="O249" s="175"/>
    </row>
    <row r="250" spans="12:15" s="43" customFormat="1" x14ac:dyDescent="0.25">
      <c r="L250" s="175"/>
      <c r="M250" s="175"/>
      <c r="N250" s="175"/>
      <c r="O250" s="175"/>
    </row>
    <row r="251" spans="12:15" s="43" customFormat="1" x14ac:dyDescent="0.25">
      <c r="L251" s="175"/>
      <c r="M251" s="175"/>
      <c r="N251" s="175"/>
      <c r="O251" s="175"/>
    </row>
    <row r="252" spans="12:15" s="43" customFormat="1" x14ac:dyDescent="0.25">
      <c r="L252" s="175"/>
      <c r="M252" s="175"/>
      <c r="N252" s="175"/>
      <c r="O252" s="175"/>
    </row>
    <row r="253" spans="12:15" s="43" customFormat="1" x14ac:dyDescent="0.25">
      <c r="L253" s="175"/>
      <c r="M253" s="175"/>
      <c r="N253" s="175"/>
      <c r="O253" s="175"/>
    </row>
    <row r="254" spans="12:15" s="43" customFormat="1" x14ac:dyDescent="0.25">
      <c r="L254" s="175"/>
      <c r="M254" s="175"/>
      <c r="N254" s="175"/>
      <c r="O254" s="175"/>
    </row>
  </sheetData>
  <sheetProtection algorithmName="SHA-512" hashValue="6+culbyNyQsYz97QAefRGDu6YMIYBEws/AQ2yHdFUYeNb0NOHvFnZhu6K9JtZEsCj03rvFoHO5e0T+vPb3S4ZA==" saltValue="I6JqJbOSFCAfds2OLiKdUQ==" spinCount="100000" sheet="1" selectLockedCells="1" selectUnlockedCells="1"/>
  <mergeCells count="10">
    <mergeCell ref="J58:K58"/>
    <mergeCell ref="C1:G2"/>
    <mergeCell ref="H15:I15"/>
    <mergeCell ref="H17:I17"/>
    <mergeCell ref="H18:I18"/>
    <mergeCell ref="H58:I58"/>
    <mergeCell ref="H6:I6"/>
    <mergeCell ref="H34:I34"/>
    <mergeCell ref="H35:I35"/>
    <mergeCell ref="H32:I32"/>
  </mergeCells>
  <conditionalFormatting sqref="G39 G22">
    <cfRule type="cellIs" dxfId="123" priority="48" operator="greaterThan">
      <formula>$G$38</formula>
    </cfRule>
    <cfRule type="cellIs" dxfId="122" priority="50" operator="lessThanOrEqual">
      <formula>$G$38</formula>
    </cfRule>
  </conditionalFormatting>
  <conditionalFormatting sqref="G48 G50">
    <cfRule type="cellIs" dxfId="121" priority="45" operator="greaterThanOrEqual">
      <formula>$G$47</formula>
    </cfRule>
    <cfRule type="cellIs" dxfId="120" priority="49" operator="lessThan">
      <formula>$G$47</formula>
    </cfRule>
  </conditionalFormatting>
  <conditionalFormatting sqref="G41 G24">
    <cfRule type="cellIs" dxfId="119" priority="46" operator="lessThan">
      <formula>$G$40</formula>
    </cfRule>
    <cfRule type="cellIs" dxfId="118" priority="47" operator="greaterThanOrEqual">
      <formula>$G$40</formula>
    </cfRule>
  </conditionalFormatting>
  <conditionalFormatting sqref="G52">
    <cfRule type="containsText" dxfId="117" priority="34" operator="containsText" text="NOT accepted">
      <formula>NOT(ISERROR(SEARCH("NOT accepted",G52)))</formula>
    </cfRule>
    <cfRule type="containsText" dxfId="116" priority="35" operator="containsText" text="NIET toegestaan">
      <formula>NOT(ISERROR(SEARCH("NIET toegestaan",G52)))</formula>
    </cfRule>
    <cfRule type="containsText" dxfId="115" priority="36" operator="containsText" text="NO aceptado">
      <formula>NOT(ISERROR(SEARCH("NO aceptado",G52)))</formula>
    </cfRule>
    <cfRule type="containsText" dxfId="114" priority="37" operator="containsText" text="NICHT erlaubt">
      <formula>NOT(ISERROR(SEARCH("NICHT erlaubt",G52)))</formula>
    </cfRule>
    <cfRule type="containsText" dxfId="113" priority="38" operator="containsText" text="PAS accepté">
      <formula>NOT(ISERROR(SEARCH("PAS accepté",G52)))</formula>
    </cfRule>
    <cfRule type="containsText" dxfId="112" priority="39" operator="containsText" text="Toegestaan">
      <formula>NOT(ISERROR(SEARCH("Toegestaan",G52)))</formula>
    </cfRule>
    <cfRule type="containsText" dxfId="111" priority="40" operator="containsText" text="Aceptado">
      <formula>NOT(ISERROR(SEARCH("Aceptado",G52)))</formula>
    </cfRule>
    <cfRule type="containsText" dxfId="110" priority="41" operator="containsText" text="Erlaubt">
      <formula>NOT(ISERROR(SEARCH("Erlaubt",G52)))</formula>
    </cfRule>
    <cfRule type="containsText" dxfId="109" priority="42" operator="containsText" text="Accepté">
      <formula>NOT(ISERROR(SEARCH("Accepté",G52)))</formula>
    </cfRule>
    <cfRule type="containsText" dxfId="108" priority="43" operator="containsText" text="Accepted">
      <formula>NOT(ISERROR(SEARCH("Accepted",G52)))</formula>
    </cfRule>
  </conditionalFormatting>
  <conditionalFormatting sqref="G39">
    <cfRule type="cellIs" dxfId="107" priority="28" operator="equal">
      <formula>0</formula>
    </cfRule>
  </conditionalFormatting>
  <conditionalFormatting sqref="G41">
    <cfRule type="cellIs" dxfId="106" priority="27" operator="equal">
      <formula>0</formula>
    </cfRule>
  </conditionalFormatting>
  <conditionalFormatting sqref="G22">
    <cfRule type="cellIs" dxfId="105" priority="26" operator="equal">
      <formula>0</formula>
    </cfRule>
  </conditionalFormatting>
  <conditionalFormatting sqref="G24">
    <cfRule type="cellIs" dxfId="104" priority="25" operator="equal">
      <formula>0</formula>
    </cfRule>
  </conditionalFormatting>
  <conditionalFormatting sqref="G28">
    <cfRule type="containsText" dxfId="103" priority="14" operator="containsText" text="NOT accepted">
      <formula>NOT(ISERROR(SEARCH("NOT accepted",G28)))</formula>
    </cfRule>
    <cfRule type="containsText" dxfId="102" priority="15" operator="containsText" text="NIET toegestaan">
      <formula>NOT(ISERROR(SEARCH("NIET toegestaan",G28)))</formula>
    </cfRule>
    <cfRule type="containsText" dxfId="101" priority="16" operator="containsText" text="NO aceptado">
      <formula>NOT(ISERROR(SEARCH("NO aceptado",G28)))</formula>
    </cfRule>
    <cfRule type="containsText" dxfId="100" priority="17" operator="containsText" text="NICHT erlaubt">
      <formula>NOT(ISERROR(SEARCH("NICHT erlaubt",G28)))</formula>
    </cfRule>
    <cfRule type="containsText" dxfId="99" priority="18" operator="containsText" text="PAS accepté">
      <formula>NOT(ISERROR(SEARCH("PAS accepté",G28)))</formula>
    </cfRule>
    <cfRule type="containsText" dxfId="98" priority="19" operator="containsText" text="Toegestaan">
      <formula>NOT(ISERROR(SEARCH("Toegestaan",G28)))</formula>
    </cfRule>
    <cfRule type="containsText" dxfId="97" priority="20" operator="containsText" text="Aceptado">
      <formula>NOT(ISERROR(SEARCH("Aceptado",G28)))</formula>
    </cfRule>
    <cfRule type="containsText" dxfId="96" priority="21" operator="containsText" text="Erlaubt">
      <formula>NOT(ISERROR(SEARCH("Erlaubt",G28)))</formula>
    </cfRule>
    <cfRule type="containsText" dxfId="95" priority="22" operator="containsText" text="Accepté">
      <formula>NOT(ISERROR(SEARCH("Accepté",G28)))</formula>
    </cfRule>
    <cfRule type="containsText" dxfId="94" priority="23" operator="containsText" text="Accepted">
      <formula>NOT(ISERROR(SEARCH("Accepted",G28)))</formula>
    </cfRule>
  </conditionalFormatting>
  <conditionalFormatting sqref="G45">
    <cfRule type="containsText" dxfId="93" priority="2" operator="containsText" text="NOT accepted">
      <formula>NOT(ISERROR(SEARCH("NOT accepted",G45)))</formula>
    </cfRule>
    <cfRule type="containsText" dxfId="92" priority="3" operator="containsText" text="NIET toegestaan">
      <formula>NOT(ISERROR(SEARCH("NIET toegestaan",G45)))</formula>
    </cfRule>
    <cfRule type="containsText" dxfId="91" priority="4" operator="containsText" text="NO aceptado">
      <formula>NOT(ISERROR(SEARCH("NO aceptado",G45)))</formula>
    </cfRule>
    <cfRule type="containsText" dxfId="90" priority="5" operator="containsText" text="NICHT erlaubt">
      <formula>NOT(ISERROR(SEARCH("NICHT erlaubt",G45)))</formula>
    </cfRule>
    <cfRule type="containsText" dxfId="89" priority="6" operator="containsText" text="PAS accepté">
      <formula>NOT(ISERROR(SEARCH("PAS accepté",G45)))</formula>
    </cfRule>
    <cfRule type="containsText" dxfId="88" priority="7" operator="containsText" text="Toegestaan">
      <formula>NOT(ISERROR(SEARCH("Toegestaan",G45)))</formula>
    </cfRule>
    <cfRule type="containsText" dxfId="87" priority="8" operator="containsText" text="Aceptado">
      <formula>NOT(ISERROR(SEARCH("Aceptado",G45)))</formula>
    </cfRule>
    <cfRule type="containsText" dxfId="86" priority="9" operator="containsText" text="Erlaubt">
      <formula>NOT(ISERROR(SEARCH("Erlaubt",G45)))</formula>
    </cfRule>
    <cfRule type="containsText" dxfId="85" priority="10" operator="containsText" text="Accepté">
      <formula>NOT(ISERROR(SEARCH("Accepté",G45)))</formula>
    </cfRule>
    <cfRule type="containsText" dxfId="84" priority="11" operator="containsText" text="Accepted">
      <formula>NOT(ISERROR(SEARCH("Accepted",G45)))</formula>
    </cfRule>
  </conditionalFormatting>
  <pageMargins left="0.7" right="0.7" top="0.75" bottom="0.75" header="0.3" footer="0.3"/>
  <pageSetup paperSize="9" scale="95" orientation="portrait" r:id="rId1"/>
  <ignoredErrors>
    <ignoredError sqref="J59:J65" formula="1"/>
    <ignoredError sqref="B10 H6" unlockedFormula="1"/>
  </ignoredErrors>
  <drawing r:id="rId2"/>
  <legacyDrawing r:id="rId3"/>
  <controls>
    <mc:AlternateContent xmlns:mc="http://schemas.openxmlformats.org/markup-compatibility/2006">
      <mc:Choice Requires="x14">
        <control shapeId="2064" r:id="rId4" name="CheckBox1">
          <controlPr defaultSize="0" autoLine="0" r:id="rId5">
            <anchor>
              <from>
                <xdr:col>2</xdr:col>
                <xdr:colOff>66675</xdr:colOff>
                <xdr:row>7</xdr:row>
                <xdr:rowOff>38100</xdr:rowOff>
              </from>
              <to>
                <xdr:col>2</xdr:col>
                <xdr:colOff>190500</xdr:colOff>
                <xdr:row>7</xdr:row>
                <xdr:rowOff>152400</xdr:rowOff>
              </to>
            </anchor>
          </controlPr>
        </control>
      </mc:Choice>
      <mc:Fallback>
        <control shapeId="2064" r:id="rId4" name="CheckBox1"/>
      </mc:Fallback>
    </mc:AlternateContent>
    <mc:AlternateContent xmlns:mc="http://schemas.openxmlformats.org/markup-compatibility/2006">
      <mc:Choice Requires="x14">
        <control shapeId="2065" r:id="rId6" name="CheckBox2">
          <controlPr defaultSize="0" autoLine="0" r:id="rId7">
            <anchor>
              <from>
                <xdr:col>2</xdr:col>
                <xdr:colOff>57150</xdr:colOff>
                <xdr:row>8</xdr:row>
                <xdr:rowOff>28575</xdr:rowOff>
              </from>
              <to>
                <xdr:col>2</xdr:col>
                <xdr:colOff>180975</xdr:colOff>
                <xdr:row>8</xdr:row>
                <xdr:rowOff>142875</xdr:rowOff>
              </to>
            </anchor>
          </controlPr>
        </control>
      </mc:Choice>
      <mc:Fallback>
        <control shapeId="2065" r:id="rId6" name="CheckBox2"/>
      </mc:Fallback>
    </mc:AlternateContent>
    <mc:AlternateContent xmlns:mc="http://schemas.openxmlformats.org/markup-compatibility/2006">
      <mc:Choice Requires="x14">
        <control shapeId="2049" r:id="rId8" name="Drop Down 1">
          <controlPr defaultSize="0" autoLine="0" autoPict="0">
            <anchor moveWithCells="1">
              <from>
                <xdr:col>2</xdr:col>
                <xdr:colOff>133350</xdr:colOff>
                <xdr:row>12</xdr:row>
                <xdr:rowOff>0</xdr:rowOff>
              </from>
              <to>
                <xdr:col>9</xdr:col>
                <xdr:colOff>361950</xdr:colOff>
                <xdr:row>12</xdr:row>
                <xdr:rowOff>190500</xdr:rowOff>
              </to>
            </anchor>
          </controlPr>
        </control>
      </mc:Choice>
    </mc:AlternateContent>
    <mc:AlternateContent xmlns:mc="http://schemas.openxmlformats.org/markup-compatibility/2006">
      <mc:Choice Requires="x14">
        <control shapeId="2052" r:id="rId9" name="Spinner 4">
          <controlPr defaultSize="0" autoPict="0">
            <anchor>
              <from>
                <xdr:col>4</xdr:col>
                <xdr:colOff>76200</xdr:colOff>
                <xdr:row>13</xdr:row>
                <xdr:rowOff>180975</xdr:rowOff>
              </from>
              <to>
                <xdr:col>4</xdr:col>
                <xdr:colOff>361950</xdr:colOff>
                <xdr:row>15</xdr:row>
                <xdr:rowOff>9525</xdr:rowOff>
              </to>
            </anchor>
          </controlPr>
        </control>
      </mc:Choice>
    </mc:AlternateContent>
    <mc:AlternateContent xmlns:mc="http://schemas.openxmlformats.org/markup-compatibility/2006">
      <mc:Choice Requires="x14">
        <control shapeId="2053" r:id="rId10" name="Spinner 5">
          <controlPr defaultSize="0" autoPict="0">
            <anchor>
              <from>
                <xdr:col>9</xdr:col>
                <xdr:colOff>76200</xdr:colOff>
                <xdr:row>13</xdr:row>
                <xdr:rowOff>180975</xdr:rowOff>
              </from>
              <to>
                <xdr:col>9</xdr:col>
                <xdr:colOff>371475</xdr:colOff>
                <xdr:row>15</xdr:row>
                <xdr:rowOff>9525</xdr:rowOff>
              </to>
            </anchor>
          </controlPr>
        </control>
      </mc:Choice>
    </mc:AlternateContent>
    <mc:AlternateContent xmlns:mc="http://schemas.openxmlformats.org/markup-compatibility/2006">
      <mc:Choice Requires="x14">
        <control shapeId="2056" r:id="rId11" name="Option Button 8">
          <controlPr defaultSize="0" autoFill="0" autoLine="0" autoPict="0">
            <anchor moveWithCells="1">
              <from>
                <xdr:col>7</xdr:col>
                <xdr:colOff>76200</xdr:colOff>
                <xdr:row>0</xdr:row>
                <xdr:rowOff>180975</xdr:rowOff>
              </from>
              <to>
                <xdr:col>8</xdr:col>
                <xdr:colOff>9525</xdr:colOff>
                <xdr:row>2</xdr:row>
                <xdr:rowOff>19050</xdr:rowOff>
              </to>
            </anchor>
          </controlPr>
        </control>
      </mc:Choice>
    </mc:AlternateContent>
    <mc:AlternateContent xmlns:mc="http://schemas.openxmlformats.org/markup-compatibility/2006">
      <mc:Choice Requires="x14">
        <control shapeId="2057" r:id="rId12" name="Option Button 9">
          <controlPr defaultSize="0" autoFill="0" autoLine="0" autoPict="0">
            <anchor moveWithCells="1">
              <from>
                <xdr:col>7</xdr:col>
                <xdr:colOff>352425</xdr:colOff>
                <xdr:row>0</xdr:row>
                <xdr:rowOff>180975</xdr:rowOff>
              </from>
              <to>
                <xdr:col>9</xdr:col>
                <xdr:colOff>0</xdr:colOff>
                <xdr:row>2</xdr:row>
                <xdr:rowOff>19050</xdr:rowOff>
              </to>
            </anchor>
          </controlPr>
        </control>
      </mc:Choice>
    </mc:AlternateContent>
    <mc:AlternateContent xmlns:mc="http://schemas.openxmlformats.org/markup-compatibility/2006">
      <mc:Choice Requires="x14">
        <control shapeId="2058" r:id="rId13" name="Option Button 10">
          <controlPr defaultSize="0" autoFill="0" autoLine="0" autoPict="0">
            <anchor moveWithCells="1">
              <from>
                <xdr:col>8</xdr:col>
                <xdr:colOff>266700</xdr:colOff>
                <xdr:row>0</xdr:row>
                <xdr:rowOff>180975</xdr:rowOff>
              </from>
              <to>
                <xdr:col>9</xdr:col>
                <xdr:colOff>295275</xdr:colOff>
                <xdr:row>2</xdr:row>
                <xdr:rowOff>19050</xdr:rowOff>
              </to>
            </anchor>
          </controlPr>
        </control>
      </mc:Choice>
    </mc:AlternateContent>
    <mc:AlternateContent xmlns:mc="http://schemas.openxmlformats.org/markup-compatibility/2006">
      <mc:Choice Requires="x14">
        <control shapeId="2059" r:id="rId14" name="Option Button 11">
          <controlPr defaultSize="0" autoFill="0" autoLine="0" autoPict="0">
            <anchor moveWithCells="1">
              <from>
                <xdr:col>9</xdr:col>
                <xdr:colOff>285750</xdr:colOff>
                <xdr:row>0</xdr:row>
                <xdr:rowOff>180975</xdr:rowOff>
              </from>
              <to>
                <xdr:col>10</xdr:col>
                <xdr:colOff>19050</xdr:colOff>
                <xdr:row>2</xdr:row>
                <xdr:rowOff>19050</xdr:rowOff>
              </to>
            </anchor>
          </controlPr>
        </control>
      </mc:Choice>
    </mc:AlternateContent>
    <mc:AlternateContent xmlns:mc="http://schemas.openxmlformats.org/markup-compatibility/2006">
      <mc:Choice Requires="x14">
        <control shapeId="2060" r:id="rId15" name="Option Button 12">
          <controlPr defaultSize="0" autoFill="0" autoLine="0" autoPict="0">
            <anchor moveWithCells="1">
              <from>
                <xdr:col>9</xdr:col>
                <xdr:colOff>561975</xdr:colOff>
                <xdr:row>0</xdr:row>
                <xdr:rowOff>180975</xdr:rowOff>
              </from>
              <to>
                <xdr:col>11</xdr:col>
                <xdr:colOff>9525</xdr:colOff>
                <xdr:row>2</xdr:row>
                <xdr:rowOff>19050</xdr:rowOff>
              </to>
            </anchor>
          </controlPr>
        </control>
      </mc:Choice>
    </mc:AlternateContent>
    <mc:AlternateContent xmlns:mc="http://schemas.openxmlformats.org/markup-compatibility/2006">
      <mc:Choice Requires="x14">
        <control shapeId="2061" r:id="rId16" name="Spinner 13">
          <controlPr defaultSize="0" autoPict="0">
            <anchor moveWithCells="1" sizeWithCells="1">
              <from>
                <xdr:col>9</xdr:col>
                <xdr:colOff>85725</xdr:colOff>
                <xdr:row>16</xdr:row>
                <xdr:rowOff>9525</xdr:rowOff>
              </from>
              <to>
                <xdr:col>9</xdr:col>
                <xdr:colOff>409575</xdr:colOff>
                <xdr:row>17</xdr:row>
                <xdr:rowOff>0</xdr:rowOff>
              </to>
            </anchor>
          </controlPr>
        </control>
      </mc:Choice>
    </mc:AlternateContent>
    <mc:AlternateContent xmlns:mc="http://schemas.openxmlformats.org/markup-compatibility/2006">
      <mc:Choice Requires="x14">
        <control shapeId="2062" r:id="rId17" name="Spinner 14">
          <controlPr defaultSize="0" autoPict="0">
            <anchor moveWithCells="1" sizeWithCells="1">
              <from>
                <xdr:col>9</xdr:col>
                <xdr:colOff>95250</xdr:colOff>
                <xdr:row>17</xdr:row>
                <xdr:rowOff>28575</xdr:rowOff>
              </from>
              <to>
                <xdr:col>9</xdr:col>
                <xdr:colOff>400050</xdr:colOff>
                <xdr:row>18</xdr:row>
                <xdr:rowOff>19050</xdr:rowOff>
              </to>
            </anchor>
          </controlPr>
        </control>
      </mc:Choice>
    </mc:AlternateContent>
    <mc:AlternateContent xmlns:mc="http://schemas.openxmlformats.org/markup-compatibility/2006">
      <mc:Choice Requires="x14">
        <control shapeId="2063" r:id="rId18" name="Check Box 15">
          <controlPr defaultSize="0" autoFill="0" autoLine="0" autoPict="0">
            <anchor moveWithCells="1">
              <from>
                <xdr:col>7</xdr:col>
                <xdr:colOff>371475</xdr:colOff>
                <xdr:row>54</xdr:row>
                <xdr:rowOff>171450</xdr:rowOff>
              </from>
              <to>
                <xdr:col>9</xdr:col>
                <xdr:colOff>19050</xdr:colOff>
                <xdr:row>56</xdr:row>
                <xdr:rowOff>9525</xdr:rowOff>
              </to>
            </anchor>
          </controlPr>
        </control>
      </mc:Choice>
    </mc:AlternateContent>
    <mc:AlternateContent xmlns:mc="http://schemas.openxmlformats.org/markup-compatibility/2006">
      <mc:Choice Requires="x14">
        <control shapeId="2066" r:id="rId19" name="Option Button 18">
          <controlPr defaultSize="0" autoFill="0" autoLine="0" autoPict="0">
            <anchor moveWithCells="1">
              <from>
                <xdr:col>6</xdr:col>
                <xdr:colOff>1095375</xdr:colOff>
                <xdr:row>0</xdr:row>
                <xdr:rowOff>180975</xdr:rowOff>
              </from>
              <to>
                <xdr:col>7</xdr:col>
                <xdr:colOff>123825</xdr:colOff>
                <xdr:row>2</xdr:row>
                <xdr:rowOff>19050</xdr:rowOff>
              </to>
            </anchor>
          </controlPr>
        </control>
      </mc:Choice>
    </mc:AlternateContent>
    <mc:AlternateContent xmlns:mc="http://schemas.openxmlformats.org/markup-compatibility/2006">
      <mc:Choice Requires="x14">
        <control shapeId="2067" r:id="rId20" name="Drop Down 19">
          <controlPr defaultSize="0" autoLine="0" autoPict="0">
            <anchor moveWithCells="1">
              <from>
                <xdr:col>2</xdr:col>
                <xdr:colOff>9525</xdr:colOff>
                <xdr:row>3</xdr:row>
                <xdr:rowOff>9525</xdr:rowOff>
              </from>
              <to>
                <xdr:col>9</xdr:col>
                <xdr:colOff>381000</xdr:colOff>
                <xdr:row>4</xdr:row>
                <xdr:rowOff>0</xdr:rowOff>
              </to>
            </anchor>
          </controlPr>
        </control>
      </mc:Choice>
    </mc:AlternateContent>
    <mc:AlternateContent xmlns:mc="http://schemas.openxmlformats.org/markup-compatibility/2006">
      <mc:Choice Requires="x14">
        <control shapeId="2068" r:id="rId21" name="Spinner 20">
          <controlPr defaultSize="0" autoPict="0">
            <anchor moveWithCells="1" sizeWithCells="1">
              <from>
                <xdr:col>6</xdr:col>
                <xdr:colOff>85725</xdr:colOff>
                <xdr:row>6</xdr:row>
                <xdr:rowOff>190500</xdr:rowOff>
              </from>
              <to>
                <xdr:col>6</xdr:col>
                <xdr:colOff>381000</xdr:colOff>
                <xdr:row>8</xdr:row>
                <xdr:rowOff>9525</xdr:rowOff>
              </to>
            </anchor>
          </controlPr>
        </control>
      </mc:Choice>
    </mc:AlternateContent>
    <mc:AlternateContent xmlns:mc="http://schemas.openxmlformats.org/markup-compatibility/2006">
      <mc:Choice Requires="x14">
        <control shapeId="2069" r:id="rId22" name="Spinner 21">
          <controlPr defaultSize="0" autoPict="0">
            <anchor moveWithCells="1" sizeWithCells="1">
              <from>
                <xdr:col>9</xdr:col>
                <xdr:colOff>85725</xdr:colOff>
                <xdr:row>6</xdr:row>
                <xdr:rowOff>190500</xdr:rowOff>
              </from>
              <to>
                <xdr:col>9</xdr:col>
                <xdr:colOff>381000</xdr:colOff>
                <xdr:row>8</xdr:row>
                <xdr:rowOff>9525</xdr:rowOff>
              </to>
            </anchor>
          </controlPr>
        </control>
      </mc:Choice>
    </mc:AlternateContent>
    <mc:AlternateContent xmlns:mc="http://schemas.openxmlformats.org/markup-compatibility/2006">
      <mc:Choice Requires="x14">
        <control shapeId="2070" r:id="rId23" name="Spinner 22">
          <controlPr locked="0" defaultSize="0" autoPict="0">
            <anchor moveWithCells="1" sizeWithCells="1">
              <from>
                <xdr:col>9</xdr:col>
                <xdr:colOff>85725</xdr:colOff>
                <xdr:row>5</xdr:row>
                <xdr:rowOff>0</xdr:rowOff>
              </from>
              <to>
                <xdr:col>9</xdr:col>
                <xdr:colOff>381000</xdr:colOff>
                <xdr:row>6</xdr:row>
                <xdr:rowOff>9525</xdr:rowOff>
              </to>
            </anchor>
          </controlPr>
        </control>
      </mc:Choice>
    </mc:AlternateContent>
    <mc:AlternateContent xmlns:mc="http://schemas.openxmlformats.org/markup-compatibility/2006">
      <mc:Choice Requires="x14">
        <control shapeId="2071" r:id="rId24" name="Drop Down 23">
          <controlPr defaultSize="0" autoLine="0" autoPict="0">
            <anchor moveWithCells="1">
              <from>
                <xdr:col>2</xdr:col>
                <xdr:colOff>47625</xdr:colOff>
                <xdr:row>29</xdr:row>
                <xdr:rowOff>0</xdr:rowOff>
              </from>
              <to>
                <xdr:col>9</xdr:col>
                <xdr:colOff>276225</xdr:colOff>
                <xdr:row>30</xdr:row>
                <xdr:rowOff>0</xdr:rowOff>
              </to>
            </anchor>
          </controlPr>
        </control>
      </mc:Choice>
    </mc:AlternateContent>
    <mc:AlternateContent xmlns:mc="http://schemas.openxmlformats.org/markup-compatibility/2006">
      <mc:Choice Requires="x14">
        <control shapeId="2072" r:id="rId25" name="Spinner 24">
          <controlPr defaultSize="0" autoPict="0">
            <anchor>
              <from>
                <xdr:col>4</xdr:col>
                <xdr:colOff>57150</xdr:colOff>
                <xdr:row>31</xdr:row>
                <xdr:rowOff>0</xdr:rowOff>
              </from>
              <to>
                <xdr:col>4</xdr:col>
                <xdr:colOff>342900</xdr:colOff>
                <xdr:row>32</xdr:row>
                <xdr:rowOff>19050</xdr:rowOff>
              </to>
            </anchor>
          </controlPr>
        </control>
      </mc:Choice>
    </mc:AlternateContent>
    <mc:AlternateContent xmlns:mc="http://schemas.openxmlformats.org/markup-compatibility/2006">
      <mc:Choice Requires="x14">
        <control shapeId="2073" r:id="rId26" name="Spinner 25">
          <controlPr defaultSize="0" autoPict="0">
            <anchor>
              <from>
                <xdr:col>9</xdr:col>
                <xdr:colOff>57150</xdr:colOff>
                <xdr:row>30</xdr:row>
                <xdr:rowOff>180975</xdr:rowOff>
              </from>
              <to>
                <xdr:col>9</xdr:col>
                <xdr:colOff>352425</xdr:colOff>
                <xdr:row>32</xdr:row>
                <xdr:rowOff>9525</xdr:rowOff>
              </to>
            </anchor>
          </controlPr>
        </control>
      </mc:Choice>
    </mc:AlternateContent>
    <mc:AlternateContent xmlns:mc="http://schemas.openxmlformats.org/markup-compatibility/2006">
      <mc:Choice Requires="x14">
        <control shapeId="2074" r:id="rId27" name="Spinner 26">
          <controlPr defaultSize="0" autoPict="0">
            <anchor moveWithCells="1" sizeWithCells="1">
              <from>
                <xdr:col>9</xdr:col>
                <xdr:colOff>66675</xdr:colOff>
                <xdr:row>33</xdr:row>
                <xdr:rowOff>9525</xdr:rowOff>
              </from>
              <to>
                <xdr:col>9</xdr:col>
                <xdr:colOff>361950</xdr:colOff>
                <xdr:row>34</xdr:row>
                <xdr:rowOff>0</xdr:rowOff>
              </to>
            </anchor>
          </controlPr>
        </control>
      </mc:Choice>
    </mc:AlternateContent>
    <mc:AlternateContent xmlns:mc="http://schemas.openxmlformats.org/markup-compatibility/2006">
      <mc:Choice Requires="x14">
        <control shapeId="2075" r:id="rId28" name="Spinner 27">
          <controlPr defaultSize="0" autoPict="0">
            <anchor moveWithCells="1" sizeWithCells="1">
              <from>
                <xdr:col>9</xdr:col>
                <xdr:colOff>57150</xdr:colOff>
                <xdr:row>34</xdr:row>
                <xdr:rowOff>28575</xdr:rowOff>
              </from>
              <to>
                <xdr:col>9</xdr:col>
                <xdr:colOff>361950</xdr:colOff>
                <xdr:row>35</xdr:row>
                <xdr:rowOff>19050</xdr:rowOff>
              </to>
            </anchor>
          </controlPr>
        </control>
      </mc:Choice>
    </mc:AlternateContent>
  </controls>
  <extLst>
    <ext xmlns:x14="http://schemas.microsoft.com/office/spreadsheetml/2009/9/main" uri="{78C0D931-6437-407d-A8EE-F0AAD7539E65}">
      <x14:conditionalFormattings>
        <x14:conditionalFormatting xmlns:xm="http://schemas.microsoft.com/office/excel/2006/main">
          <x14:cfRule type="cellIs" priority="33" operator="equal" id="{917ABC3D-31F5-4971-9B34-9B831285810A}">
            <xm:f>Language!$G$41</xm:f>
            <x14:dxf>
              <fill>
                <patternFill>
                  <bgColor rgb="FFFF0000"/>
                </patternFill>
              </fill>
            </x14:dxf>
          </x14:cfRule>
          <x14:cfRule type="cellIs" priority="44" operator="equal" id="{006AC230-2EA2-42B8-BD52-C086E5CB2917}">
            <xm:f>Language!$G$40</xm:f>
            <x14:dxf>
              <fill>
                <patternFill>
                  <bgColor rgb="FF92D050"/>
                </patternFill>
              </fill>
            </x14:dxf>
          </x14:cfRule>
          <xm:sqref>G52</xm:sqref>
        </x14:conditionalFormatting>
        <x14:conditionalFormatting xmlns:xm="http://schemas.microsoft.com/office/excel/2006/main">
          <x14:cfRule type="cellIs" priority="13" operator="equal" id="{BABBB2C5-DD91-4F7A-BC34-F98980AF97A3}">
            <xm:f>Language!$G$41</xm:f>
            <x14:dxf>
              <fill>
                <patternFill>
                  <bgColor rgb="FFFF0000"/>
                </patternFill>
              </fill>
            </x14:dxf>
          </x14:cfRule>
          <x14:cfRule type="cellIs" priority="24" operator="equal" id="{B8349985-8574-4B65-B8CC-6512CC955A56}">
            <xm:f>Language!$G$40</xm:f>
            <x14:dxf>
              <fill>
                <patternFill>
                  <bgColor rgb="FF92D050"/>
                </patternFill>
              </fill>
            </x14:dxf>
          </x14:cfRule>
          <xm:sqref>G28</xm:sqref>
        </x14:conditionalFormatting>
        <x14:conditionalFormatting xmlns:xm="http://schemas.microsoft.com/office/excel/2006/main">
          <x14:cfRule type="cellIs" priority="1" operator="equal" id="{AC45DBE9-AC5C-4490-95B7-E88B039B9722}">
            <xm:f>Language!$G$41</xm:f>
            <x14:dxf>
              <fill>
                <patternFill>
                  <bgColor rgb="FFFF0000"/>
                </patternFill>
              </fill>
            </x14:dxf>
          </x14:cfRule>
          <x14:cfRule type="cellIs" priority="12" operator="equal" id="{4E9D6B6C-ADAA-4634-A62B-4A531045439E}">
            <xm:f>Language!$G$40</xm:f>
            <x14:dxf>
              <fill>
                <patternFill>
                  <bgColor rgb="FF92D050"/>
                </patternFill>
              </fill>
            </x14:dxf>
          </x14:cfRule>
          <xm:sqref>G45</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K46"/>
  <sheetViews>
    <sheetView zoomScaleNormal="100" workbookViewId="0">
      <selection activeCell="B23" sqref="B23"/>
    </sheetView>
  </sheetViews>
  <sheetFormatPr defaultColWidth="9.140625" defaultRowHeight="15" x14ac:dyDescent="0.25"/>
  <cols>
    <col min="1" max="1" width="39" style="39" customWidth="1"/>
    <col min="2" max="10" width="20" style="40" customWidth="1"/>
    <col min="11" max="11" width="22.140625" style="40" customWidth="1"/>
    <col min="12" max="16384" width="9.140625" style="40"/>
  </cols>
  <sheetData>
    <row r="1" spans="1:11" x14ac:dyDescent="0.25">
      <c r="A1" s="106"/>
      <c r="B1" s="92" t="s">
        <v>0</v>
      </c>
      <c r="C1" s="54" t="s">
        <v>1</v>
      </c>
      <c r="D1" s="54" t="s">
        <v>2</v>
      </c>
      <c r="E1" s="54" t="s">
        <v>230</v>
      </c>
      <c r="F1" s="54" t="s">
        <v>4</v>
      </c>
      <c r="G1" s="54" t="s">
        <v>231</v>
      </c>
      <c r="H1" s="54" t="s">
        <v>3</v>
      </c>
      <c r="I1" s="54" t="s">
        <v>232</v>
      </c>
      <c r="J1" s="108" t="s">
        <v>5</v>
      </c>
      <c r="K1" s="109" t="s">
        <v>260</v>
      </c>
    </row>
    <row r="2" spans="1:11" x14ac:dyDescent="0.25">
      <c r="A2" s="106"/>
      <c r="B2" s="92" t="s">
        <v>235</v>
      </c>
      <c r="C2" s="91" t="s">
        <v>235</v>
      </c>
      <c r="D2" s="91" t="s">
        <v>236</v>
      </c>
      <c r="E2" s="91" t="s">
        <v>237</v>
      </c>
      <c r="F2" s="91" t="s">
        <v>238</v>
      </c>
      <c r="G2" s="91" t="s">
        <v>237</v>
      </c>
      <c r="H2" s="91" t="s">
        <v>238</v>
      </c>
      <c r="I2" s="91" t="s">
        <v>239</v>
      </c>
      <c r="J2" s="91" t="s">
        <v>239</v>
      </c>
      <c r="K2" s="110"/>
    </row>
    <row r="3" spans="1:11" x14ac:dyDescent="0.25">
      <c r="A3" s="60" t="str">
        <f>B3</f>
        <v>No module</v>
      </c>
      <c r="B3" s="57" t="s">
        <v>495</v>
      </c>
      <c r="C3" s="57"/>
      <c r="D3" s="57"/>
      <c r="E3" s="57"/>
      <c r="F3" s="57"/>
      <c r="G3" s="57"/>
      <c r="H3" s="57"/>
      <c r="I3" s="57"/>
      <c r="J3" s="57"/>
      <c r="K3" s="57"/>
    </row>
    <row r="4" spans="1:11" x14ac:dyDescent="0.25">
      <c r="A4" s="60" t="str">
        <f t="shared" ref="A4:A21" si="0">B4&amp;" "&amp;C4&amp;" ("&amp;K4&amp;")"</f>
        <v>Victron Energy SPM20-12 (SPM040201200)</v>
      </c>
      <c r="B4" s="57" t="s">
        <v>6</v>
      </c>
      <c r="C4" s="57" t="s">
        <v>372</v>
      </c>
      <c r="D4" s="57">
        <v>20</v>
      </c>
      <c r="E4" s="57" t="s">
        <v>374</v>
      </c>
      <c r="F4" s="57">
        <v>1.0900000000000001</v>
      </c>
      <c r="G4" s="57">
        <v>22.6</v>
      </c>
      <c r="H4" s="57">
        <v>1.19</v>
      </c>
      <c r="I4" s="57">
        <v>-0.35</v>
      </c>
      <c r="J4" s="57">
        <v>0.04</v>
      </c>
      <c r="K4" s="57" t="s">
        <v>375</v>
      </c>
    </row>
    <row r="5" spans="1:11" x14ac:dyDescent="0.25">
      <c r="A5" s="60" t="str">
        <f t="shared" si="0"/>
        <v>Victron Energy SPM30-12 (SPM040301200)</v>
      </c>
      <c r="B5" s="57" t="s">
        <v>6</v>
      </c>
      <c r="C5" s="57" t="s">
        <v>7</v>
      </c>
      <c r="D5" s="57">
        <v>30</v>
      </c>
      <c r="E5" s="57">
        <v>18.7</v>
      </c>
      <c r="F5" s="57">
        <v>1.61</v>
      </c>
      <c r="G5" s="57">
        <v>22.87</v>
      </c>
      <c r="H5" s="57">
        <v>1.76</v>
      </c>
      <c r="I5" s="57">
        <v>-0.34</v>
      </c>
      <c r="J5" s="57">
        <v>3.6999999999999998E-2</v>
      </c>
      <c r="K5" s="57" t="s">
        <v>417</v>
      </c>
    </row>
    <row r="6" spans="1:11" x14ac:dyDescent="0.25">
      <c r="A6" s="60" t="str">
        <f t="shared" si="0"/>
        <v>Victron Energy SPM40-12 (SPM040401200)</v>
      </c>
      <c r="B6" s="57" t="s">
        <v>6</v>
      </c>
      <c r="C6" s="57" t="s">
        <v>396</v>
      </c>
      <c r="D6" s="57">
        <v>40</v>
      </c>
      <c r="E6" s="57">
        <v>18.3</v>
      </c>
      <c r="F6" s="57">
        <v>2.19</v>
      </c>
      <c r="G6" s="57">
        <v>22.45</v>
      </c>
      <c r="H6" s="57">
        <v>2.4</v>
      </c>
      <c r="I6" s="57">
        <v>-0.35</v>
      </c>
      <c r="J6" s="57">
        <v>0.04</v>
      </c>
      <c r="K6" s="57" t="s">
        <v>397</v>
      </c>
    </row>
    <row r="7" spans="1:11" x14ac:dyDescent="0.25">
      <c r="A7" s="60" t="str">
        <f t="shared" si="0"/>
        <v>Victron Energy SPM55-12 (SPM040551200)</v>
      </c>
      <c r="B7" s="57" t="s">
        <v>6</v>
      </c>
      <c r="C7" s="57" t="s">
        <v>373</v>
      </c>
      <c r="D7" s="57">
        <v>55</v>
      </c>
      <c r="E7" s="57">
        <v>18.8</v>
      </c>
      <c r="F7" s="57">
        <v>2.94</v>
      </c>
      <c r="G7" s="57">
        <v>22.9</v>
      </c>
      <c r="H7" s="57">
        <v>3.22</v>
      </c>
      <c r="I7" s="57">
        <v>-0.35</v>
      </c>
      <c r="J7" s="57">
        <v>0.04</v>
      </c>
      <c r="K7" s="68" t="s">
        <v>376</v>
      </c>
    </row>
    <row r="8" spans="1:11" x14ac:dyDescent="0.25">
      <c r="A8" s="60" t="str">
        <f t="shared" si="0"/>
        <v>Victron Energy SPM90-12 (SPM040901200 )</v>
      </c>
      <c r="B8" s="57" t="s">
        <v>6</v>
      </c>
      <c r="C8" s="57" t="s">
        <v>403</v>
      </c>
      <c r="D8" s="57">
        <v>90</v>
      </c>
      <c r="E8" s="162">
        <v>19.600000000000001</v>
      </c>
      <c r="F8" s="162">
        <v>4.59</v>
      </c>
      <c r="G8" s="162">
        <v>24.06</v>
      </c>
      <c r="H8" s="162">
        <v>5.03</v>
      </c>
      <c r="I8" s="162">
        <v>-0.35</v>
      </c>
      <c r="J8" s="162">
        <v>0.04</v>
      </c>
      <c r="K8" s="163" t="s">
        <v>404</v>
      </c>
    </row>
    <row r="9" spans="1:11" x14ac:dyDescent="0.25">
      <c r="A9" s="60" t="str">
        <f t="shared" si="0"/>
        <v>Victron Energy SPM115-12 (SPM041151200)</v>
      </c>
      <c r="B9" s="57" t="s">
        <v>6</v>
      </c>
      <c r="C9" s="57" t="s">
        <v>398</v>
      </c>
      <c r="D9" s="57">
        <v>115</v>
      </c>
      <c r="E9" s="57">
        <v>19</v>
      </c>
      <c r="F9" s="57">
        <v>6.04</v>
      </c>
      <c r="G9" s="57">
        <v>23.32</v>
      </c>
      <c r="H9" s="57">
        <v>6.61</v>
      </c>
      <c r="I9" s="57">
        <v>-0.35</v>
      </c>
      <c r="J9" s="57">
        <v>0.04</v>
      </c>
      <c r="K9" s="124" t="s">
        <v>399</v>
      </c>
    </row>
    <row r="10" spans="1:11" x14ac:dyDescent="0.25">
      <c r="A10" s="60" t="str">
        <f>B10&amp;" "&amp;C10&amp;" ("&amp;K10&amp;")"</f>
        <v>Victron Energy SPM175-12 (SPM041751200)</v>
      </c>
      <c r="B10" s="57" t="s">
        <v>6</v>
      </c>
      <c r="C10" s="57" t="s">
        <v>377</v>
      </c>
      <c r="D10" s="57">
        <v>175</v>
      </c>
      <c r="E10" s="57">
        <v>19.399999999999999</v>
      </c>
      <c r="F10" s="57">
        <v>9.0299999999999994</v>
      </c>
      <c r="G10" s="57">
        <v>23.7</v>
      </c>
      <c r="H10" s="57">
        <v>9.89</v>
      </c>
      <c r="I10" s="57">
        <v>-0.35</v>
      </c>
      <c r="J10" s="57">
        <v>0.04</v>
      </c>
      <c r="K10" s="68" t="s">
        <v>378</v>
      </c>
    </row>
    <row r="11" spans="1:11" x14ac:dyDescent="0.25">
      <c r="A11" s="60" t="str">
        <f t="shared" si="0"/>
        <v>Victron Energy SPM215-24 (SPM042152400)</v>
      </c>
      <c r="B11" s="57" t="s">
        <v>6</v>
      </c>
      <c r="C11" s="57" t="s">
        <v>405</v>
      </c>
      <c r="D11" s="57">
        <v>215</v>
      </c>
      <c r="E11" s="57">
        <v>37.4</v>
      </c>
      <c r="F11" s="57">
        <v>5.75</v>
      </c>
      <c r="G11" s="57">
        <v>45.82</v>
      </c>
      <c r="H11" s="57">
        <v>6.3</v>
      </c>
      <c r="I11" s="57">
        <v>-0.35</v>
      </c>
      <c r="J11" s="57">
        <v>0.04</v>
      </c>
      <c r="K11" s="68" t="s">
        <v>406</v>
      </c>
    </row>
    <row r="12" spans="1:11" x14ac:dyDescent="0.25">
      <c r="A12" s="60" t="str">
        <f t="shared" si="0"/>
        <v>Victron Energy SPM305-20 (SPM043052000)</v>
      </c>
      <c r="B12" s="57" t="s">
        <v>6</v>
      </c>
      <c r="C12" s="57" t="s">
        <v>379</v>
      </c>
      <c r="D12" s="57">
        <v>305</v>
      </c>
      <c r="E12" s="57">
        <v>32.5</v>
      </c>
      <c r="F12" s="57">
        <v>9.3800000000000008</v>
      </c>
      <c r="G12" s="57">
        <v>39.700000000000003</v>
      </c>
      <c r="H12" s="57">
        <v>10.27</v>
      </c>
      <c r="I12" s="57">
        <v>-0.35</v>
      </c>
      <c r="J12" s="57">
        <v>0.04</v>
      </c>
      <c r="K12" s="68" t="s">
        <v>380</v>
      </c>
    </row>
    <row r="13" spans="1:11" x14ac:dyDescent="0.25">
      <c r="A13" s="60" t="str">
        <f t="shared" si="0"/>
        <v>Victron Energy SPM360-24 (SPM043602400)</v>
      </c>
      <c r="B13" s="57" t="s">
        <v>6</v>
      </c>
      <c r="C13" s="57" t="s">
        <v>381</v>
      </c>
      <c r="D13" s="57">
        <v>360</v>
      </c>
      <c r="E13" s="57">
        <v>38.4</v>
      </c>
      <c r="F13" s="57">
        <v>9.3800000000000008</v>
      </c>
      <c r="G13" s="57">
        <v>47.4</v>
      </c>
      <c r="H13" s="57">
        <v>10.24</v>
      </c>
      <c r="I13" s="57">
        <v>-0.35</v>
      </c>
      <c r="J13" s="57">
        <v>0.04</v>
      </c>
      <c r="K13" s="68" t="s">
        <v>382</v>
      </c>
    </row>
    <row r="14" spans="1:11" x14ac:dyDescent="0.25">
      <c r="A14" s="60" t="str">
        <f t="shared" si="0"/>
        <v>Victron Energy SPP20-12 (SPP040201200)</v>
      </c>
      <c r="B14" s="57" t="s">
        <v>6</v>
      </c>
      <c r="C14" s="57" t="s">
        <v>312</v>
      </c>
      <c r="D14" s="57">
        <v>20</v>
      </c>
      <c r="E14" s="57">
        <v>18.399999999999999</v>
      </c>
      <c r="F14" s="57">
        <v>1.0900000000000001</v>
      </c>
      <c r="G14" s="57">
        <v>21.96</v>
      </c>
      <c r="H14" s="57">
        <v>1.18</v>
      </c>
      <c r="I14" s="57">
        <v>-0.35</v>
      </c>
      <c r="J14" s="57">
        <v>0.04</v>
      </c>
      <c r="K14" s="68" t="s">
        <v>385</v>
      </c>
    </row>
    <row r="15" spans="1:11" x14ac:dyDescent="0.25">
      <c r="A15" s="60" t="str">
        <f>B15&amp;" "&amp;C15&amp;" ("&amp;K15&amp;")"</f>
        <v>Victron Energy SPP30-12 (SPP040301200)</v>
      </c>
      <c r="B15" s="57" t="s">
        <v>6</v>
      </c>
      <c r="C15" s="57" t="s">
        <v>30</v>
      </c>
      <c r="D15" s="57">
        <v>30</v>
      </c>
      <c r="E15" s="57">
        <v>18.2</v>
      </c>
      <c r="F15" s="57">
        <v>1.66</v>
      </c>
      <c r="G15" s="57">
        <v>21.8</v>
      </c>
      <c r="H15" s="57">
        <v>1.8</v>
      </c>
      <c r="I15" s="57">
        <v>-0.35</v>
      </c>
      <c r="J15" s="57">
        <v>0.04</v>
      </c>
      <c r="K15" s="68" t="s">
        <v>386</v>
      </c>
    </row>
    <row r="16" spans="1:11" x14ac:dyDescent="0.25">
      <c r="A16" s="60" t="str">
        <f t="shared" si="0"/>
        <v>Victron Energy SPP45-12 (SPP040451200)</v>
      </c>
      <c r="B16" s="57" t="s">
        <v>6</v>
      </c>
      <c r="C16" s="57" t="s">
        <v>409</v>
      </c>
      <c r="D16" s="57">
        <v>45</v>
      </c>
      <c r="E16" s="57">
        <v>19.100000000000001</v>
      </c>
      <c r="F16" s="57">
        <v>2.36</v>
      </c>
      <c r="G16" s="57">
        <v>22.9</v>
      </c>
      <c r="H16" s="57">
        <v>2.5499999999999998</v>
      </c>
      <c r="I16" s="57">
        <v>-0.35</v>
      </c>
      <c r="J16" s="57">
        <v>0.04</v>
      </c>
      <c r="K16" s="68" t="s">
        <v>410</v>
      </c>
    </row>
    <row r="17" spans="1:11" x14ac:dyDescent="0.25">
      <c r="A17" s="60" t="str">
        <f t="shared" si="0"/>
        <v>Victron Energy SPP60-12 (SPP040601200)</v>
      </c>
      <c r="B17" s="57" t="s">
        <v>6</v>
      </c>
      <c r="C17" s="57" t="s">
        <v>383</v>
      </c>
      <c r="D17" s="57">
        <v>60</v>
      </c>
      <c r="E17" s="57">
        <v>19.3</v>
      </c>
      <c r="F17" s="57">
        <v>3.12</v>
      </c>
      <c r="G17" s="57">
        <v>23.1</v>
      </c>
      <c r="H17" s="57">
        <v>3.37</v>
      </c>
      <c r="I17" s="57">
        <v>-0.35</v>
      </c>
      <c r="J17" s="57">
        <v>0.04</v>
      </c>
      <c r="K17" s="124" t="s">
        <v>384</v>
      </c>
    </row>
    <row r="18" spans="1:11" x14ac:dyDescent="0.25">
      <c r="A18" s="60" t="str">
        <f t="shared" si="0"/>
        <v>Victron Energy SPP90-12 (SPP040901200)</v>
      </c>
      <c r="B18" s="57" t="s">
        <v>6</v>
      </c>
      <c r="C18" s="57" t="s">
        <v>400</v>
      </c>
      <c r="D18" s="57">
        <v>90</v>
      </c>
      <c r="E18" s="57">
        <v>19.5</v>
      </c>
      <c r="F18" s="57">
        <v>4.6100000000000003</v>
      </c>
      <c r="G18" s="57">
        <v>23.44</v>
      </c>
      <c r="H18" s="57">
        <v>4.9800000000000004</v>
      </c>
      <c r="I18" s="57">
        <v>-0.35</v>
      </c>
      <c r="J18" s="57">
        <v>0.04</v>
      </c>
      <c r="K18" s="68" t="s">
        <v>401</v>
      </c>
    </row>
    <row r="19" spans="1:11" x14ac:dyDescent="0.25">
      <c r="A19" s="60" t="str">
        <f>B19&amp;" "&amp;C19&amp;" ("&amp;K19&amp;")"</f>
        <v>Victron Energy SPP115-12 (SPP041151200)</v>
      </c>
      <c r="B19" s="57" t="s">
        <v>6</v>
      </c>
      <c r="C19" s="57" t="s">
        <v>408</v>
      </c>
      <c r="D19" s="57">
        <v>115</v>
      </c>
      <c r="E19" s="57">
        <v>18.940000000000001</v>
      </c>
      <c r="F19" s="57">
        <v>6.08</v>
      </c>
      <c r="G19" s="57">
        <v>22.73</v>
      </c>
      <c r="H19" s="57">
        <v>6.56</v>
      </c>
      <c r="I19" s="57">
        <v>-0.35</v>
      </c>
      <c r="J19" s="57">
        <v>0.04</v>
      </c>
      <c r="K19" s="68" t="s">
        <v>411</v>
      </c>
    </row>
    <row r="20" spans="1:11" x14ac:dyDescent="0.25">
      <c r="A20" s="60" t="str">
        <f t="shared" si="0"/>
        <v>Victron Energy SPP175-12 (SPP041751200)</v>
      </c>
      <c r="B20" s="57" t="s">
        <v>6</v>
      </c>
      <c r="C20" s="57" t="s">
        <v>387</v>
      </c>
      <c r="D20" s="57">
        <v>175</v>
      </c>
      <c r="E20" s="57">
        <v>18.3</v>
      </c>
      <c r="F20" s="57">
        <v>9.56</v>
      </c>
      <c r="G20" s="57">
        <v>21.9</v>
      </c>
      <c r="H20" s="57">
        <v>10.24</v>
      </c>
      <c r="I20" s="57">
        <v>-0.35</v>
      </c>
      <c r="J20" s="57">
        <v>0.04</v>
      </c>
      <c r="K20" s="68" t="s">
        <v>388</v>
      </c>
    </row>
    <row r="21" spans="1:11" x14ac:dyDescent="0.25">
      <c r="A21" s="60" t="str">
        <f t="shared" si="0"/>
        <v>Victron Energy SPP270-20 (SPP042702000)</v>
      </c>
      <c r="B21" s="57" t="s">
        <v>6</v>
      </c>
      <c r="C21" s="57" t="s">
        <v>407</v>
      </c>
      <c r="D21" s="57">
        <v>270</v>
      </c>
      <c r="E21" s="57">
        <v>31.7</v>
      </c>
      <c r="F21" s="57">
        <v>8.52</v>
      </c>
      <c r="G21" s="57">
        <v>38.04</v>
      </c>
      <c r="H21" s="57">
        <v>9.2100000000000009</v>
      </c>
      <c r="I21" s="57">
        <v>-0.34</v>
      </c>
      <c r="J21" s="57">
        <v>4.4999999999999998E-2</v>
      </c>
      <c r="K21" s="68" t="s">
        <v>412</v>
      </c>
    </row>
    <row r="22" spans="1:11" x14ac:dyDescent="0.25">
      <c r="A22" s="60" t="str">
        <f t="shared" ref="A22" si="1">B22&amp;" "&amp;C22&amp;" ("&amp;K22&amp;")"</f>
        <v>Victron Energy SPP330-24 (SPP043302400)</v>
      </c>
      <c r="B22" s="57" t="s">
        <v>6</v>
      </c>
      <c r="C22" s="57" t="s">
        <v>389</v>
      </c>
      <c r="D22" s="57">
        <v>330</v>
      </c>
      <c r="E22" s="57">
        <v>37.299999999999997</v>
      </c>
      <c r="F22" s="57">
        <v>8.86</v>
      </c>
      <c r="G22" s="57">
        <v>44.72</v>
      </c>
      <c r="H22" s="57">
        <v>9.57</v>
      </c>
      <c r="I22" s="57">
        <v>-0.35</v>
      </c>
      <c r="J22" s="57">
        <v>0.04</v>
      </c>
      <c r="K22" s="68" t="s">
        <v>390</v>
      </c>
    </row>
    <row r="23" spans="1:11" x14ac:dyDescent="0.25">
      <c r="A23" s="60" t="str">
        <f t="shared" ref="A23:A34" si="2">B23&amp;" "&amp;C23</f>
        <v>Custom: 1XYZ 1ABC</v>
      </c>
      <c r="B23" s="5" t="s">
        <v>540</v>
      </c>
      <c r="C23" s="5" t="s">
        <v>542</v>
      </c>
      <c r="D23" s="5">
        <v>275</v>
      </c>
      <c r="E23" s="5">
        <v>44.3</v>
      </c>
      <c r="F23" s="5">
        <v>5.54</v>
      </c>
      <c r="G23" s="5">
        <v>53</v>
      </c>
      <c r="H23" s="5">
        <v>5.86</v>
      </c>
      <c r="I23" s="5">
        <v>-0.25</v>
      </c>
      <c r="J23" s="5">
        <v>0.03</v>
      </c>
      <c r="K23" s="111"/>
    </row>
    <row r="24" spans="1:11" x14ac:dyDescent="0.25">
      <c r="A24" s="60" t="str">
        <f t="shared" si="2"/>
        <v>Custom: 2XYZ 2ABC</v>
      </c>
      <c r="B24" s="5" t="s">
        <v>191</v>
      </c>
      <c r="C24" s="5" t="s">
        <v>192</v>
      </c>
      <c r="D24" s="5">
        <v>275</v>
      </c>
      <c r="E24" s="5">
        <v>44.3</v>
      </c>
      <c r="F24" s="5">
        <v>5.54</v>
      </c>
      <c r="G24" s="5">
        <v>53</v>
      </c>
      <c r="H24" s="5">
        <v>5.86</v>
      </c>
      <c r="I24" s="5">
        <v>-0.25</v>
      </c>
      <c r="J24" s="5">
        <v>0.03</v>
      </c>
      <c r="K24" s="111"/>
    </row>
    <row r="25" spans="1:11" x14ac:dyDescent="0.25">
      <c r="A25" s="60" t="str">
        <f t="shared" si="2"/>
        <v>Custom: 3XYZ 3ABC</v>
      </c>
      <c r="B25" s="5" t="s">
        <v>197</v>
      </c>
      <c r="C25" s="5" t="s">
        <v>198</v>
      </c>
      <c r="D25" s="5">
        <v>100</v>
      </c>
      <c r="E25" s="5">
        <v>40.200000000000003</v>
      </c>
      <c r="F25" s="5">
        <v>6.46</v>
      </c>
      <c r="G25" s="5">
        <v>48</v>
      </c>
      <c r="H25" s="5">
        <v>8.5</v>
      </c>
      <c r="I25" s="5">
        <v>-0.33</v>
      </c>
      <c r="J25" s="5">
        <v>0.06</v>
      </c>
      <c r="K25" s="111"/>
    </row>
    <row r="26" spans="1:11" x14ac:dyDescent="0.25">
      <c r="A26" s="60" t="str">
        <f t="shared" si="2"/>
        <v>Custom: 4XYZ 4ABC</v>
      </c>
      <c r="B26" s="5" t="s">
        <v>257</v>
      </c>
      <c r="C26" s="5" t="s">
        <v>255</v>
      </c>
      <c r="D26" s="5">
        <v>125</v>
      </c>
      <c r="E26" s="5">
        <v>35.5</v>
      </c>
      <c r="F26" s="5">
        <v>6.46</v>
      </c>
      <c r="G26" s="5">
        <v>45</v>
      </c>
      <c r="H26" s="5">
        <v>8.5</v>
      </c>
      <c r="I26" s="5">
        <v>-0.33</v>
      </c>
      <c r="J26" s="5">
        <v>0.06</v>
      </c>
      <c r="K26" s="111"/>
    </row>
    <row r="27" spans="1:11" x14ac:dyDescent="0.25">
      <c r="A27" s="60" t="str">
        <f t="shared" si="2"/>
        <v>Custom: 5XYZ 5ABC</v>
      </c>
      <c r="B27" s="5" t="s">
        <v>258</v>
      </c>
      <c r="C27" s="5" t="s">
        <v>256</v>
      </c>
      <c r="D27" s="5">
        <v>150</v>
      </c>
      <c r="E27" s="5">
        <v>35.5</v>
      </c>
      <c r="F27" s="5">
        <v>6.46</v>
      </c>
      <c r="G27" s="5">
        <v>45</v>
      </c>
      <c r="H27" s="5">
        <v>8.5</v>
      </c>
      <c r="I27" s="5">
        <v>-0.33</v>
      </c>
      <c r="J27" s="5">
        <v>0.06</v>
      </c>
      <c r="K27" s="111"/>
    </row>
    <row r="28" spans="1:11" x14ac:dyDescent="0.25">
      <c r="A28" s="60" t="str">
        <f t="shared" si="2"/>
        <v>Custom: 6XYZ 6ABC</v>
      </c>
      <c r="B28" s="5" t="s">
        <v>261</v>
      </c>
      <c r="C28" s="5" t="s">
        <v>265</v>
      </c>
      <c r="D28" s="5">
        <v>175</v>
      </c>
      <c r="E28" s="5">
        <v>35.5</v>
      </c>
      <c r="F28" s="5">
        <v>6.46</v>
      </c>
      <c r="G28" s="5">
        <v>45</v>
      </c>
      <c r="H28" s="5">
        <v>8.5</v>
      </c>
      <c r="I28" s="5">
        <v>-0.33</v>
      </c>
      <c r="J28" s="5">
        <v>0.06</v>
      </c>
      <c r="K28" s="111"/>
    </row>
    <row r="29" spans="1:11" x14ac:dyDescent="0.25">
      <c r="A29" s="60" t="str">
        <f t="shared" si="2"/>
        <v>Custom: 7XYZ 7ABC</v>
      </c>
      <c r="B29" s="5" t="s">
        <v>262</v>
      </c>
      <c r="C29" s="5" t="s">
        <v>266</v>
      </c>
      <c r="D29" s="5">
        <v>200</v>
      </c>
      <c r="E29" s="5">
        <v>35.5</v>
      </c>
      <c r="F29" s="5">
        <v>6.46</v>
      </c>
      <c r="G29" s="5">
        <v>45</v>
      </c>
      <c r="H29" s="5">
        <v>8.5</v>
      </c>
      <c r="I29" s="5">
        <v>-0.33</v>
      </c>
      <c r="J29" s="5">
        <v>0.06</v>
      </c>
      <c r="K29" s="111"/>
    </row>
    <row r="30" spans="1:11" x14ac:dyDescent="0.25">
      <c r="A30" s="60" t="str">
        <f t="shared" si="2"/>
        <v>Custom: 8XYZ 8ABC</v>
      </c>
      <c r="B30" s="5" t="s">
        <v>263</v>
      </c>
      <c r="C30" s="5" t="s">
        <v>267</v>
      </c>
      <c r="D30" s="5">
        <v>225</v>
      </c>
      <c r="E30" s="5">
        <v>35.5</v>
      </c>
      <c r="F30" s="5">
        <v>6.46</v>
      </c>
      <c r="G30" s="5">
        <v>45</v>
      </c>
      <c r="H30" s="5">
        <v>8.5</v>
      </c>
      <c r="I30" s="5">
        <v>-0.33</v>
      </c>
      <c r="J30" s="5">
        <v>0.06</v>
      </c>
      <c r="K30" s="111"/>
    </row>
    <row r="31" spans="1:11" x14ac:dyDescent="0.25">
      <c r="A31" s="60" t="str">
        <f t="shared" si="2"/>
        <v>Custom: 9XYZ 9ABC</v>
      </c>
      <c r="B31" s="5" t="s">
        <v>264</v>
      </c>
      <c r="C31" s="5" t="s">
        <v>268</v>
      </c>
      <c r="D31" s="5">
        <v>250</v>
      </c>
      <c r="E31" s="5">
        <v>35.5</v>
      </c>
      <c r="F31" s="5">
        <v>6.46</v>
      </c>
      <c r="G31" s="5">
        <v>45</v>
      </c>
      <c r="H31" s="5">
        <v>8.5</v>
      </c>
      <c r="I31" s="5">
        <v>-0.33</v>
      </c>
      <c r="J31" s="5">
        <v>0.06</v>
      </c>
      <c r="K31" s="111"/>
    </row>
    <row r="32" spans="1:11" x14ac:dyDescent="0.25">
      <c r="A32" s="60" t="str">
        <f t="shared" si="2"/>
        <v>Custom: 10XYZ 10ABC</v>
      </c>
      <c r="B32" s="5" t="s">
        <v>356</v>
      </c>
      <c r="C32" s="5" t="s">
        <v>357</v>
      </c>
      <c r="D32" s="5">
        <v>275</v>
      </c>
      <c r="E32" s="5">
        <v>44.3</v>
      </c>
      <c r="F32" s="5">
        <v>5.54</v>
      </c>
      <c r="G32" s="5">
        <v>53</v>
      </c>
      <c r="H32" s="5">
        <v>5.86</v>
      </c>
      <c r="I32" s="5">
        <v>-0.25</v>
      </c>
      <c r="J32" s="5">
        <v>0.03</v>
      </c>
      <c r="K32" s="111"/>
    </row>
    <row r="33" spans="1:11" x14ac:dyDescent="0.25">
      <c r="A33" s="60" t="str">
        <f t="shared" si="2"/>
        <v>Custom: 11XYZ 11ABC</v>
      </c>
      <c r="B33" s="5" t="s">
        <v>359</v>
      </c>
      <c r="C33" s="5" t="s">
        <v>360</v>
      </c>
      <c r="D33" s="5">
        <v>275</v>
      </c>
      <c r="E33" s="5">
        <v>44.3</v>
      </c>
      <c r="F33" s="5">
        <v>5.54</v>
      </c>
      <c r="G33" s="5">
        <v>53</v>
      </c>
      <c r="H33" s="5">
        <v>5.86</v>
      </c>
      <c r="I33" s="5">
        <v>-0.25</v>
      </c>
      <c r="J33" s="5">
        <v>0.03</v>
      </c>
      <c r="K33" s="111"/>
    </row>
    <row r="34" spans="1:11" x14ac:dyDescent="0.25">
      <c r="A34" s="60" t="str">
        <f t="shared" si="2"/>
        <v>Custom: 12XYZ 12ABC</v>
      </c>
      <c r="B34" s="5" t="s">
        <v>541</v>
      </c>
      <c r="C34" s="5" t="s">
        <v>543</v>
      </c>
      <c r="D34" s="5">
        <v>275</v>
      </c>
      <c r="E34" s="5">
        <v>44.3</v>
      </c>
      <c r="F34" s="5">
        <v>5.54</v>
      </c>
      <c r="G34" s="5">
        <v>53</v>
      </c>
      <c r="H34" s="5">
        <v>5.86</v>
      </c>
      <c r="I34" s="5">
        <v>-0.25</v>
      </c>
      <c r="J34" s="5">
        <v>0.03</v>
      </c>
      <c r="K34" s="111"/>
    </row>
    <row r="36" spans="1:11" x14ac:dyDescent="0.25">
      <c r="A36" s="95" t="str">
        <f>IF('Blue- &amp; SmartSolar'!J3=6,INDEX(Language!B4:G51,40,6),IF('Blue- &amp; SmartSolar'!J3=5,INDEX(Language!B4:F51,40,1),IF('Blue- &amp; SmartSolar'!J3=4,INDEX(Language!B4:F51,40,2),IF('Blue- &amp; SmartSolar'!J3=3,INDEX(Language!B4:F51,40,3),IF('Blue- &amp; SmartSolar'!J3=2,INDEX(Language!B4:F51,40,4),INDEX(Language!B4:F51,40,5))))))</f>
        <v>Coefficient support:</v>
      </c>
      <c r="B36" s="96"/>
      <c r="C36" s="96"/>
      <c r="D36" s="96"/>
      <c r="E36" s="96"/>
      <c r="F36" s="96"/>
      <c r="G36" s="96"/>
      <c r="H36" s="96"/>
      <c r="I36" s="96"/>
      <c r="J36" s="97"/>
    </row>
    <row r="37" spans="1:11" x14ac:dyDescent="0.25">
      <c r="A37" s="98" t="str">
        <f>IF('Blue- &amp; SmartSolar'!J3=6,INDEX(Language!B4:G51,41,6),IF('Blue- &amp; SmartSolar'!J3=5,INDEX(Language!B4:F51,41,1),IF('Blue- &amp; SmartSolar'!J3=4,INDEX(Language!B4:F51,41,2),IF('Blue- &amp; SmartSolar'!J3=3,INDEX(Language!B4:F51,41,3),IF('Blue- &amp; SmartSolar'!J3=2,INDEX(Language!B4:F51,41,4),INDEX(Language!B4:F51,41,5))))))</f>
        <v>If you have the voltage temperature coefficient in mV/°C, here is how to change it to %/°C</v>
      </c>
      <c r="B37" s="99"/>
      <c r="C37" s="99"/>
      <c r="D37" s="99"/>
      <c r="E37" s="99"/>
      <c r="F37" s="99"/>
      <c r="G37" s="99"/>
      <c r="H37" s="99"/>
      <c r="I37" s="99"/>
      <c r="J37" s="100"/>
    </row>
    <row r="38" spans="1:11" x14ac:dyDescent="0.25">
      <c r="A38" s="101" t="str">
        <f>IF('Blue- &amp; SmartSolar'!J3=6,INDEX(Language!B4:G51,42,6),IF('Blue- &amp; SmartSolar'!J3=5,INDEX(Language!B4:F51,42,1),IF('Blue- &amp; SmartSolar'!J3=4,INDEX(Language!B4:F51,42,2),IF('Blue- &amp; SmartSolar'!J3=3,INDEX(Language!B4:F51,42,3),IF('Blue- &amp; SmartSolar'!J3=2,INDEX(Language!B4:F51,42,4),INDEX(Language!B4:F51,42,5))))))</f>
        <v>Write the Voc value in Volt:</v>
      </c>
      <c r="B38" s="99"/>
      <c r="C38" s="5">
        <v>24.1</v>
      </c>
      <c r="D38" s="102" t="s">
        <v>247</v>
      </c>
      <c r="E38" s="99"/>
      <c r="F38" s="99"/>
      <c r="G38" s="99"/>
      <c r="H38" s="99"/>
      <c r="I38" s="99"/>
      <c r="J38" s="100"/>
    </row>
    <row r="39" spans="1:11" x14ac:dyDescent="0.25">
      <c r="A39" s="101" t="str">
        <f>IF('Blue- &amp; SmartSolar'!J3=6,INDEX(Language!B4:G51,43,6),IF('Blue- &amp; SmartSolar'!J3=5,INDEX(Language!B4:F51,43,1),IF('Blue- &amp; SmartSolar'!J3=4,INDEX(Language!B4:F51,43,2),IF('Blue- &amp; SmartSolar'!J3=3,INDEX(Language!B4:F51,43,3),IF('Blue- &amp; SmartSolar'!J3=2,INDEX(Language!B4:F51,43,4),INDEX(Language!B4:F51,43,5))))))</f>
        <v>Write the coefficient value in mV/°C:</v>
      </c>
      <c r="B39" s="99"/>
      <c r="C39" s="5">
        <v>-77</v>
      </c>
      <c r="D39" s="102" t="s">
        <v>248</v>
      </c>
      <c r="E39" s="99"/>
      <c r="F39" s="99"/>
      <c r="G39" s="99"/>
      <c r="H39" s="99"/>
      <c r="I39" s="99"/>
      <c r="J39" s="100"/>
    </row>
    <row r="40" spans="1:11" x14ac:dyDescent="0.25">
      <c r="A40" s="101" t="str">
        <f>IF('Blue- &amp; SmartSolar'!J3=6,INDEX(Language!B4:G51,44,6),IF('Blue- &amp; SmartSolar'!J3=5,INDEX(Language!B4:F51,44,1),IF('Blue- &amp; SmartSolar'!J3=4,INDEX(Language!B4:F51,44,2),IF('Blue- &amp; SmartSolar'!J3=3,INDEX(Language!B4:F51,44,3),IF('Blue- &amp; SmartSolar'!J3=2,INDEX(Language!B4:F51,44,4),INDEX(Language!B4:F51,44,5))))))</f>
        <v>The coefficent value in %/°C is now:</v>
      </c>
      <c r="B40" s="99"/>
      <c r="C40" s="94">
        <f>(C39/1000)/(C38/100)</f>
        <v>-0.31950207468879666</v>
      </c>
      <c r="D40" s="102" t="s">
        <v>249</v>
      </c>
      <c r="E40" s="99"/>
      <c r="F40" s="99"/>
      <c r="G40" s="99"/>
      <c r="H40" s="99"/>
      <c r="I40" s="99"/>
      <c r="J40" s="100"/>
    </row>
    <row r="41" spans="1:11" x14ac:dyDescent="0.25">
      <c r="A41" s="103"/>
      <c r="B41" s="99"/>
      <c r="C41" s="99"/>
      <c r="D41" s="99"/>
      <c r="E41" s="99"/>
      <c r="F41" s="99"/>
      <c r="G41" s="99"/>
      <c r="H41" s="99"/>
      <c r="I41" s="99"/>
      <c r="J41" s="100"/>
    </row>
    <row r="42" spans="1:11" x14ac:dyDescent="0.25">
      <c r="A42" s="98" t="str">
        <f>IF('Blue- &amp; SmartSolar'!J3=6,INDEX(Language!B4:G51,45,6),IF('Blue- &amp; SmartSolar'!J3=5,INDEX(Language!B4:F51,45,1),IF('Blue- &amp; SmartSolar'!J3=4,INDEX(Language!B4:F51,45,2),IF('Blue- &amp; SmartSolar'!J3=3,INDEX(Language!B4:F51,45,3),IF('Blue- &amp; SmartSolar'!J3=2,INDEX(Language!B4:F51,45,4),INDEX(Language!B4:F51,45,5))))))</f>
        <v>If you have the current temperature coefficient in mA/°C, here is how to change it to %/°C</v>
      </c>
      <c r="B42" s="99"/>
      <c r="C42" s="99"/>
      <c r="D42" s="99"/>
      <c r="E42" s="99"/>
      <c r="F42" s="99"/>
      <c r="G42" s="99"/>
      <c r="H42" s="99"/>
      <c r="I42" s="99"/>
      <c r="J42" s="100"/>
    </row>
    <row r="43" spans="1:11" x14ac:dyDescent="0.25">
      <c r="A43" s="101" t="str">
        <f>IF('Blue- &amp; SmartSolar'!J3=6,INDEX(Language!B4:G51,46,6),IF('Blue- &amp; SmartSolar'!J3=5,INDEX(Language!B4:F51,46,1),IF('Blue- &amp; SmartSolar'!J3=4,INDEX(Language!B4:F51,46,2),IF('Blue- &amp; SmartSolar'!J3=3,INDEX(Language!B4:F51,46,3),IF('Blue- &amp; SmartSolar'!J3=2,INDEX(Language!B4:F51,46,4),INDEX(Language!B4:F51,46,5))))))</f>
        <v>Write the Isc value in Ampere:</v>
      </c>
      <c r="B43" s="99"/>
      <c r="C43" s="5">
        <v>8.7200000000000006</v>
      </c>
      <c r="D43" s="102" t="s">
        <v>250</v>
      </c>
      <c r="E43" s="99"/>
      <c r="F43" s="99"/>
      <c r="G43" s="99"/>
      <c r="H43" s="99"/>
      <c r="I43" s="99"/>
      <c r="J43" s="100"/>
    </row>
    <row r="44" spans="1:11" x14ac:dyDescent="0.25">
      <c r="A44" s="101" t="str">
        <f>IF('Blue- &amp; SmartSolar'!J3=6,INDEX(Language!B4:G51,47,6),IF('Blue- &amp; SmartSolar'!J3=5,INDEX(Language!B4:F51,47,1),IF('Blue- &amp; SmartSolar'!J3=4,INDEX(Language!B4:F51,47,2),IF('Blue- &amp; SmartSolar'!J3=3,INDEX(Language!B4:F51,47,3),IF('Blue- &amp; SmartSolar'!J3=2,INDEX(Language!B4:F51,47,4),INDEX(Language!B4:F51,47,5))))))</f>
        <v>Write the coefficient value in mA/°C:</v>
      </c>
      <c r="B44" s="99"/>
      <c r="C44" s="5">
        <v>4.7</v>
      </c>
      <c r="D44" s="102" t="s">
        <v>251</v>
      </c>
      <c r="E44" s="99"/>
      <c r="F44" s="99"/>
      <c r="G44" s="99"/>
      <c r="H44" s="99"/>
      <c r="I44" s="99"/>
      <c r="J44" s="100"/>
    </row>
    <row r="45" spans="1:11" x14ac:dyDescent="0.25">
      <c r="A45" s="101" t="str">
        <f>IF('Blue- &amp; SmartSolar'!J3=6,INDEX(Language!B4:G51,48,6),IF('Blue- &amp; SmartSolar'!J3=5,INDEX(Language!B4:F51,48,1),IF('Blue- &amp; SmartSolar'!J3=4,INDEX(Language!B4:F51,48,2),IF('Blue- &amp; SmartSolar'!J3=3,INDEX(Language!B4:F51,48,3),IF('Blue- &amp; SmartSolar'!J3=2,INDEX(Language!B4:F51,48,4),INDEX(Language!B4:F51,48,5))))))</f>
        <v>The coefficent value in %/°C is now:</v>
      </c>
      <c r="B45" s="99"/>
      <c r="C45" s="94">
        <f>(C44/1000)/(C43/100)</f>
        <v>5.3899082568807342E-2</v>
      </c>
      <c r="D45" s="102" t="s">
        <v>249</v>
      </c>
      <c r="E45" s="99"/>
      <c r="F45" s="99"/>
      <c r="G45" s="99"/>
      <c r="H45" s="99"/>
      <c r="I45" s="99"/>
      <c r="J45" s="100"/>
    </row>
    <row r="46" spans="1:11" x14ac:dyDescent="0.25">
      <c r="A46" s="104"/>
      <c r="B46" s="93"/>
      <c r="C46" s="93"/>
      <c r="D46" s="93"/>
      <c r="E46" s="93"/>
      <c r="F46" s="93"/>
      <c r="G46" s="93"/>
      <c r="H46" s="93"/>
      <c r="I46" s="93"/>
      <c r="J46" s="105"/>
    </row>
  </sheetData>
  <sheetProtection algorithmName="SHA-512" hashValue="54Oz56SeYTEg3jTkJD13qXz+gGF57Txs2T8q83Eg8n43+4kwA0422qMDtYH7j+fOeM0CnDAkhQ6i+aCXdxHd+Q==" saltValue="6UKPgEnI/mWoncjhTaihkw==" spinCount="100000" sheet="1" selectLockedCells="1"/>
  <conditionalFormatting sqref="I25:I27 I31:I34">
    <cfRule type="cellIs" dxfId="77" priority="107" operator="lessThan">
      <formula>-0.5</formula>
    </cfRule>
    <cfRule type="cellIs" dxfId="76" priority="108" operator="greaterThanOrEqual">
      <formula>0</formula>
    </cfRule>
  </conditionalFormatting>
  <conditionalFormatting sqref="J25:J27 J31:J34">
    <cfRule type="cellIs" dxfId="75" priority="105" operator="greaterThan">
      <formula>0.1</formula>
    </cfRule>
    <cfRule type="cellIs" dxfId="74" priority="106" operator="lessThan">
      <formula>0</formula>
    </cfRule>
  </conditionalFormatting>
  <conditionalFormatting sqref="I28">
    <cfRule type="cellIs" dxfId="73" priority="103" operator="lessThan">
      <formula>-0.5</formula>
    </cfRule>
    <cfRule type="cellIs" dxfId="72" priority="104" operator="greaterThanOrEqual">
      <formula>0</formula>
    </cfRule>
  </conditionalFormatting>
  <conditionalFormatting sqref="J28">
    <cfRule type="cellIs" dxfId="71" priority="101" operator="greaterThan">
      <formula>0.1</formula>
    </cfRule>
    <cfRule type="cellIs" dxfId="70" priority="102" operator="lessThan">
      <formula>0</formula>
    </cfRule>
  </conditionalFormatting>
  <conditionalFormatting sqref="I27:I32">
    <cfRule type="cellIs" dxfId="69" priority="99" operator="lessThan">
      <formula>-0.5</formula>
    </cfRule>
    <cfRule type="cellIs" dxfId="68" priority="100" operator="greaterThanOrEqual">
      <formula>0</formula>
    </cfRule>
  </conditionalFormatting>
  <conditionalFormatting sqref="J27:J32">
    <cfRule type="cellIs" dxfId="67" priority="97" operator="greaterThan">
      <formula>0.1</formula>
    </cfRule>
    <cfRule type="cellIs" dxfId="66" priority="98" operator="lessThan">
      <formula>0</formula>
    </cfRule>
  </conditionalFormatting>
  <conditionalFormatting sqref="I27">
    <cfRule type="cellIs" dxfId="65" priority="91" operator="lessThan">
      <formula>-0.5</formula>
    </cfRule>
    <cfRule type="cellIs" dxfId="64" priority="92" operator="greaterThanOrEqual">
      <formula>0</formula>
    </cfRule>
  </conditionalFormatting>
  <conditionalFormatting sqref="J27">
    <cfRule type="cellIs" dxfId="63" priority="89" operator="greaterThan">
      <formula>0.1</formula>
    </cfRule>
    <cfRule type="cellIs" dxfId="62" priority="90" operator="lessThan">
      <formula>0</formula>
    </cfRule>
  </conditionalFormatting>
  <conditionalFormatting sqref="I27">
    <cfRule type="cellIs" dxfId="61" priority="87" operator="lessThan">
      <formula>-0.5</formula>
    </cfRule>
    <cfRule type="cellIs" dxfId="60" priority="88" operator="greaterThanOrEqual">
      <formula>0</formula>
    </cfRule>
  </conditionalFormatting>
  <conditionalFormatting sqref="J27">
    <cfRule type="cellIs" dxfId="59" priority="85" operator="greaterThan">
      <formula>0.1</formula>
    </cfRule>
    <cfRule type="cellIs" dxfId="58" priority="86" operator="lessThan">
      <formula>0</formula>
    </cfRule>
  </conditionalFormatting>
  <conditionalFormatting sqref="I26">
    <cfRule type="cellIs" dxfId="57" priority="79" operator="lessThan">
      <formula>-0.5</formula>
    </cfRule>
    <cfRule type="cellIs" dxfId="56" priority="80" operator="greaterThanOrEqual">
      <formula>0</formula>
    </cfRule>
  </conditionalFormatting>
  <conditionalFormatting sqref="J26">
    <cfRule type="cellIs" dxfId="55" priority="77" operator="greaterThan">
      <formula>0.1</formula>
    </cfRule>
    <cfRule type="cellIs" dxfId="54" priority="78" operator="lessThan">
      <formula>0</formula>
    </cfRule>
  </conditionalFormatting>
  <conditionalFormatting sqref="I22">
    <cfRule type="cellIs" dxfId="53" priority="71" operator="lessThan">
      <formula>-0.5</formula>
    </cfRule>
    <cfRule type="cellIs" dxfId="52" priority="72" operator="greaterThanOrEqual">
      <formula>0</formula>
    </cfRule>
  </conditionalFormatting>
  <conditionalFormatting sqref="J22">
    <cfRule type="cellIs" dxfId="51" priority="69" operator="greaterThan">
      <formula>0.1</formula>
    </cfRule>
    <cfRule type="cellIs" dxfId="50" priority="70" operator="lessThan">
      <formula>0</formula>
    </cfRule>
  </conditionalFormatting>
  <conditionalFormatting sqref="I22">
    <cfRule type="cellIs" dxfId="49" priority="51" operator="lessThan">
      <formula>-0.5</formula>
    </cfRule>
    <cfRule type="cellIs" dxfId="48" priority="52" operator="greaterThanOrEqual">
      <formula>0</formula>
    </cfRule>
  </conditionalFormatting>
  <conditionalFormatting sqref="J22">
    <cfRule type="cellIs" dxfId="47" priority="49" operator="greaterThan">
      <formula>0.1</formula>
    </cfRule>
    <cfRule type="cellIs" dxfId="46" priority="50" operator="lessThan">
      <formula>0</formula>
    </cfRule>
  </conditionalFormatting>
  <conditionalFormatting sqref="I22">
    <cfRule type="cellIs" dxfId="45" priority="43" operator="lessThan">
      <formula>-0.5</formula>
    </cfRule>
    <cfRule type="cellIs" dxfId="44" priority="44" operator="greaterThanOrEqual">
      <formula>0</formula>
    </cfRule>
  </conditionalFormatting>
  <conditionalFormatting sqref="J22">
    <cfRule type="cellIs" dxfId="43" priority="41" operator="greaterThan">
      <formula>0.1</formula>
    </cfRule>
    <cfRule type="cellIs" dxfId="42" priority="42" operator="lessThan">
      <formula>0</formula>
    </cfRule>
  </conditionalFormatting>
  <conditionalFormatting sqref="I22">
    <cfRule type="cellIs" dxfId="41" priority="39" operator="lessThan">
      <formula>-0.5</formula>
    </cfRule>
    <cfRule type="cellIs" dxfId="40" priority="40" operator="greaterThanOrEqual">
      <formula>0</formula>
    </cfRule>
  </conditionalFormatting>
  <conditionalFormatting sqref="J22">
    <cfRule type="cellIs" dxfId="39" priority="37" operator="greaterThan">
      <formula>0.1</formula>
    </cfRule>
    <cfRule type="cellIs" dxfId="38" priority="38" operator="lessThan">
      <formula>0</formula>
    </cfRule>
  </conditionalFormatting>
  <conditionalFormatting sqref="I21">
    <cfRule type="cellIs" dxfId="37" priority="35" operator="lessThan">
      <formula>-0.5</formula>
    </cfRule>
    <cfRule type="cellIs" dxfId="36" priority="36" operator="greaterThanOrEqual">
      <formula>0</formula>
    </cfRule>
  </conditionalFormatting>
  <conditionalFormatting sqref="J21">
    <cfRule type="cellIs" dxfId="35" priority="33" operator="greaterThan">
      <formula>0.1</formula>
    </cfRule>
    <cfRule type="cellIs" dxfId="34" priority="34" operator="lessThan">
      <formula>0</formula>
    </cfRule>
  </conditionalFormatting>
  <conditionalFormatting sqref="I22">
    <cfRule type="cellIs" dxfId="33" priority="31" operator="lessThan">
      <formula>-0.5</formula>
    </cfRule>
    <cfRule type="cellIs" dxfId="32" priority="32" operator="greaterThanOrEqual">
      <formula>0</formula>
    </cfRule>
  </conditionalFormatting>
  <conditionalFormatting sqref="J22">
    <cfRule type="cellIs" dxfId="31" priority="29" operator="greaterThan">
      <formula>0.1</formula>
    </cfRule>
    <cfRule type="cellIs" dxfId="30" priority="30" operator="lessThan">
      <formula>0</formula>
    </cfRule>
  </conditionalFormatting>
  <conditionalFormatting sqref="I22">
    <cfRule type="cellIs" dxfId="29" priority="27" operator="lessThan">
      <formula>-0.5</formula>
    </cfRule>
    <cfRule type="cellIs" dxfId="28" priority="28" operator="greaterThanOrEqual">
      <formula>0</formula>
    </cfRule>
  </conditionalFormatting>
  <conditionalFormatting sqref="J22">
    <cfRule type="cellIs" dxfId="27" priority="25" operator="greaterThan">
      <formula>0.1</formula>
    </cfRule>
    <cfRule type="cellIs" dxfId="26" priority="26" operator="lessThan">
      <formula>0</formula>
    </cfRule>
  </conditionalFormatting>
  <conditionalFormatting sqref="I22">
    <cfRule type="cellIs" dxfId="25" priority="23" operator="lessThan">
      <formula>-0.5</formula>
    </cfRule>
    <cfRule type="cellIs" dxfId="24" priority="24" operator="greaterThanOrEqual">
      <formula>0</formula>
    </cfRule>
  </conditionalFormatting>
  <conditionalFormatting sqref="J22">
    <cfRule type="cellIs" dxfId="23" priority="21" operator="greaterThan">
      <formula>0.1</formula>
    </cfRule>
    <cfRule type="cellIs" dxfId="22" priority="22" operator="lessThan">
      <formula>0</formula>
    </cfRule>
  </conditionalFormatting>
  <conditionalFormatting sqref="I21">
    <cfRule type="cellIs" dxfId="21" priority="19" operator="lessThan">
      <formula>-0.5</formula>
    </cfRule>
    <cfRule type="cellIs" dxfId="20" priority="20" operator="greaterThanOrEqual">
      <formula>0</formula>
    </cfRule>
  </conditionalFormatting>
  <conditionalFormatting sqref="J21">
    <cfRule type="cellIs" dxfId="19" priority="17" operator="greaterThan">
      <formula>0.1</formula>
    </cfRule>
    <cfRule type="cellIs" dxfId="18" priority="18" operator="lessThan">
      <formula>0</formula>
    </cfRule>
  </conditionalFormatting>
  <conditionalFormatting sqref="I22">
    <cfRule type="cellIs" dxfId="17" priority="15" operator="lessThan">
      <formula>-0.5</formula>
    </cfRule>
    <cfRule type="cellIs" dxfId="16" priority="16" operator="greaterThanOrEqual">
      <formula>0</formula>
    </cfRule>
  </conditionalFormatting>
  <conditionalFormatting sqref="J22">
    <cfRule type="cellIs" dxfId="15" priority="13" operator="greaterThan">
      <formula>0.1</formula>
    </cfRule>
    <cfRule type="cellIs" dxfId="14" priority="14" operator="lessThan">
      <formula>0</formula>
    </cfRule>
  </conditionalFormatting>
  <conditionalFormatting sqref="I21">
    <cfRule type="cellIs" dxfId="13" priority="11" operator="lessThan">
      <formula>-0.5</formula>
    </cfRule>
    <cfRule type="cellIs" dxfId="12" priority="12" operator="greaterThanOrEqual">
      <formula>0</formula>
    </cfRule>
  </conditionalFormatting>
  <conditionalFormatting sqref="J21">
    <cfRule type="cellIs" dxfId="11" priority="9" operator="greaterThan">
      <formula>0.1</formula>
    </cfRule>
    <cfRule type="cellIs" dxfId="10" priority="10" operator="lessThan">
      <formula>0</formula>
    </cfRule>
  </conditionalFormatting>
  <conditionalFormatting sqref="I24">
    <cfRule type="cellIs" dxfId="9" priority="7" operator="lessThan">
      <formula>-0.5</formula>
    </cfRule>
    <cfRule type="cellIs" dxfId="8" priority="8" operator="greaterThanOrEqual">
      <formula>0</formula>
    </cfRule>
  </conditionalFormatting>
  <conditionalFormatting sqref="J24">
    <cfRule type="cellIs" dxfId="7" priority="5" operator="greaterThan">
      <formula>0.1</formula>
    </cfRule>
    <cfRule type="cellIs" dxfId="6" priority="6" operator="lessThan">
      <formula>0</formula>
    </cfRule>
  </conditionalFormatting>
  <conditionalFormatting sqref="I23">
    <cfRule type="cellIs" dxfId="5" priority="3" operator="lessThan">
      <formula>-0.5</formula>
    </cfRule>
    <cfRule type="cellIs" dxfId="4" priority="4" operator="greaterThanOrEqual">
      <formula>0</formula>
    </cfRule>
  </conditionalFormatting>
  <conditionalFormatting sqref="J23">
    <cfRule type="cellIs" dxfId="3" priority="1" operator="greaterThan">
      <formula>0.1</formula>
    </cfRule>
    <cfRule type="cellIs" dxfId="2" priority="2" operator="lessThan">
      <formula>0</formula>
    </cfRule>
  </conditionalFormatting>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U20"/>
  <sheetViews>
    <sheetView workbookViewId="0">
      <selection activeCell="P26" sqref="P26"/>
    </sheetView>
  </sheetViews>
  <sheetFormatPr defaultColWidth="9.140625" defaultRowHeight="15" x14ac:dyDescent="0.25"/>
  <cols>
    <col min="1" max="1" width="68" style="38" customWidth="1"/>
    <col min="2" max="2" width="14" style="38" bestFit="1" customWidth="1"/>
    <col min="3" max="3" width="49.7109375" style="38" customWidth="1"/>
    <col min="4" max="7" width="12.7109375" style="38" bestFit="1" customWidth="1"/>
    <col min="8" max="8" width="8.42578125" style="38" bestFit="1" customWidth="1"/>
    <col min="9" max="9" width="8.140625" style="38" bestFit="1" customWidth="1"/>
    <col min="10" max="10" width="10.140625" style="38" bestFit="1" customWidth="1"/>
    <col min="11" max="14" width="5" style="38" customWidth="1"/>
    <col min="15" max="15" width="7.42578125" style="38" customWidth="1"/>
    <col min="16" max="16" width="8.5703125" style="38" bestFit="1" customWidth="1"/>
    <col min="17" max="17" width="13.5703125" style="38" bestFit="1" customWidth="1"/>
    <col min="18" max="20" width="13.28515625" style="38" customWidth="1"/>
    <col min="21" max="16384" width="9.140625" style="38"/>
  </cols>
  <sheetData>
    <row r="1" spans="1:21" x14ac:dyDescent="0.25">
      <c r="A1" s="54"/>
      <c r="B1" s="54" t="s">
        <v>0</v>
      </c>
      <c r="C1" s="54" t="s">
        <v>1</v>
      </c>
      <c r="D1" s="54" t="s">
        <v>10</v>
      </c>
      <c r="E1" s="54" t="s">
        <v>11</v>
      </c>
      <c r="F1" s="54" t="s">
        <v>12</v>
      </c>
      <c r="G1" s="54" t="s">
        <v>13</v>
      </c>
      <c r="H1" s="54" t="s">
        <v>60</v>
      </c>
      <c r="I1" s="54" t="s">
        <v>61</v>
      </c>
      <c r="J1" s="54" t="s">
        <v>62</v>
      </c>
      <c r="K1" s="221" t="s">
        <v>19</v>
      </c>
      <c r="L1" s="221"/>
      <c r="M1" s="221"/>
      <c r="N1" s="221"/>
      <c r="O1" s="115" t="s">
        <v>310</v>
      </c>
      <c r="P1" s="54" t="s">
        <v>20</v>
      </c>
      <c r="Q1" s="55" t="s">
        <v>25</v>
      </c>
      <c r="R1" s="55" t="s">
        <v>26</v>
      </c>
      <c r="S1" s="55" t="s">
        <v>27</v>
      </c>
      <c r="T1" s="55" t="s">
        <v>28</v>
      </c>
      <c r="U1" s="40"/>
    </row>
    <row r="2" spans="1:21" x14ac:dyDescent="0.25">
      <c r="A2" s="56" t="str">
        <f t="shared" ref="A2:A17" si="0">B2&amp;" "&amp;C2</f>
        <v>Victron Energy Blue-/ SmartSolar MPPT 75/10</v>
      </c>
      <c r="B2" s="57" t="s">
        <v>6</v>
      </c>
      <c r="C2" s="57" t="s">
        <v>349</v>
      </c>
      <c r="D2" s="57">
        <v>135</v>
      </c>
      <c r="E2" s="57">
        <v>270</v>
      </c>
      <c r="F2" s="58">
        <v>0</v>
      </c>
      <c r="G2" s="58">
        <v>0</v>
      </c>
      <c r="H2" s="57">
        <v>75</v>
      </c>
      <c r="I2" s="59">
        <v>5</v>
      </c>
      <c r="J2" s="59">
        <v>1</v>
      </c>
      <c r="K2" s="57">
        <v>12</v>
      </c>
      <c r="L2" s="57">
        <v>24</v>
      </c>
      <c r="M2" s="58" t="s">
        <v>117</v>
      </c>
      <c r="N2" s="58" t="s">
        <v>117</v>
      </c>
      <c r="O2" s="58">
        <v>13</v>
      </c>
      <c r="P2" s="57">
        <v>10</v>
      </c>
      <c r="Q2" s="57">
        <v>0.98</v>
      </c>
      <c r="R2" s="57">
        <v>0.98</v>
      </c>
      <c r="S2" s="58">
        <v>0</v>
      </c>
      <c r="T2" s="58">
        <v>0</v>
      </c>
      <c r="U2" s="40"/>
    </row>
    <row r="3" spans="1:21" x14ac:dyDescent="0.25">
      <c r="A3" s="56" t="str">
        <f t="shared" si="0"/>
        <v>Victron Energy Blue-/ SmartSolar MPPT 75/15</v>
      </c>
      <c r="B3" s="57" t="s">
        <v>6</v>
      </c>
      <c r="C3" s="57" t="s">
        <v>350</v>
      </c>
      <c r="D3" s="57">
        <v>200</v>
      </c>
      <c r="E3" s="57">
        <v>400</v>
      </c>
      <c r="F3" s="58">
        <v>0</v>
      </c>
      <c r="G3" s="58">
        <v>0</v>
      </c>
      <c r="H3" s="57">
        <v>75</v>
      </c>
      <c r="I3" s="59">
        <v>5</v>
      </c>
      <c r="J3" s="59">
        <v>1</v>
      </c>
      <c r="K3" s="57">
        <v>12</v>
      </c>
      <c r="L3" s="57">
        <v>24</v>
      </c>
      <c r="M3" s="58" t="s">
        <v>117</v>
      </c>
      <c r="N3" s="58" t="s">
        <v>117</v>
      </c>
      <c r="O3" s="58">
        <v>15</v>
      </c>
      <c r="P3" s="57">
        <v>15</v>
      </c>
      <c r="Q3" s="57">
        <v>0.98</v>
      </c>
      <c r="R3" s="57">
        <v>0.98</v>
      </c>
      <c r="S3" s="58">
        <v>0</v>
      </c>
      <c r="T3" s="58">
        <v>0</v>
      </c>
      <c r="U3" s="40"/>
    </row>
    <row r="4" spans="1:21" x14ac:dyDescent="0.25">
      <c r="A4" s="56" t="str">
        <f t="shared" si="0"/>
        <v>Victron Energy Blue-/ SmartSolar MPPT 100/15</v>
      </c>
      <c r="B4" s="57" t="s">
        <v>6</v>
      </c>
      <c r="C4" s="57" t="s">
        <v>351</v>
      </c>
      <c r="D4" s="57">
        <v>200</v>
      </c>
      <c r="E4" s="57">
        <v>400</v>
      </c>
      <c r="F4" s="58">
        <v>0</v>
      </c>
      <c r="G4" s="58">
        <v>0</v>
      </c>
      <c r="H4" s="57">
        <v>100</v>
      </c>
      <c r="I4" s="59">
        <v>5</v>
      </c>
      <c r="J4" s="59">
        <v>1</v>
      </c>
      <c r="K4" s="57">
        <v>12</v>
      </c>
      <c r="L4" s="57">
        <v>24</v>
      </c>
      <c r="M4" s="58" t="s">
        <v>117</v>
      </c>
      <c r="N4" s="58" t="s">
        <v>117</v>
      </c>
      <c r="O4" s="58">
        <v>15</v>
      </c>
      <c r="P4" s="57">
        <v>15</v>
      </c>
      <c r="Q4" s="57">
        <v>0.98</v>
      </c>
      <c r="R4" s="57">
        <v>0.98</v>
      </c>
      <c r="S4" s="58">
        <v>0</v>
      </c>
      <c r="T4" s="58">
        <v>0</v>
      </c>
      <c r="U4" s="40"/>
    </row>
    <row r="5" spans="1:21" x14ac:dyDescent="0.25">
      <c r="A5" s="56" t="str">
        <f>B5&amp;" "&amp;C5</f>
        <v>Victron Energy Blue- /Smart Solar MPPT 100/20</v>
      </c>
      <c r="B5" s="57" t="s">
        <v>6</v>
      </c>
      <c r="C5" s="57" t="s">
        <v>537</v>
      </c>
      <c r="D5" s="57">
        <v>290</v>
      </c>
      <c r="E5" s="57">
        <v>580</v>
      </c>
      <c r="F5" s="58">
        <v>870</v>
      </c>
      <c r="G5" s="58">
        <v>1160</v>
      </c>
      <c r="H5" s="57">
        <v>100</v>
      </c>
      <c r="I5" s="59">
        <v>5</v>
      </c>
      <c r="J5" s="59">
        <v>1</v>
      </c>
      <c r="K5" s="57">
        <v>12</v>
      </c>
      <c r="L5" s="57">
        <v>24</v>
      </c>
      <c r="M5" s="58">
        <v>36</v>
      </c>
      <c r="N5" s="58">
        <v>48</v>
      </c>
      <c r="O5" s="58">
        <v>20</v>
      </c>
      <c r="P5" s="57">
        <v>20</v>
      </c>
      <c r="Q5" s="57">
        <v>0.98</v>
      </c>
      <c r="R5" s="57">
        <v>0.98</v>
      </c>
      <c r="S5" s="58">
        <v>0.98</v>
      </c>
      <c r="T5" s="58">
        <v>0.98</v>
      </c>
      <c r="U5" s="40"/>
    </row>
    <row r="6" spans="1:21" x14ac:dyDescent="0.25">
      <c r="A6" s="56" t="str">
        <f t="shared" si="0"/>
        <v>Victron Energy Blue-/ SmartSolar MPPT 100/30</v>
      </c>
      <c r="B6" s="57" t="s">
        <v>6</v>
      </c>
      <c r="C6" s="57" t="s">
        <v>352</v>
      </c>
      <c r="D6" s="68">
        <v>440</v>
      </c>
      <c r="E6" s="68">
        <v>880</v>
      </c>
      <c r="F6" s="69">
        <v>0</v>
      </c>
      <c r="G6" s="69">
        <v>0</v>
      </c>
      <c r="H6" s="68">
        <v>100</v>
      </c>
      <c r="I6" s="70">
        <v>5</v>
      </c>
      <c r="J6" s="70">
        <v>1</v>
      </c>
      <c r="K6" s="68">
        <v>12</v>
      </c>
      <c r="L6" s="68">
        <v>24</v>
      </c>
      <c r="M6" s="69" t="s">
        <v>117</v>
      </c>
      <c r="N6" s="69" t="s">
        <v>117</v>
      </c>
      <c r="O6" s="69">
        <v>35</v>
      </c>
      <c r="P6" s="68">
        <v>30</v>
      </c>
      <c r="Q6" s="68">
        <v>0.98</v>
      </c>
      <c r="R6" s="68">
        <v>0.98</v>
      </c>
      <c r="S6" s="69">
        <v>0</v>
      </c>
      <c r="T6" s="69">
        <v>0</v>
      </c>
      <c r="U6" s="40"/>
    </row>
    <row r="7" spans="1:21" x14ac:dyDescent="0.25">
      <c r="A7" s="56" t="str">
        <f t="shared" si="0"/>
        <v>Victron Energy Blue-/ SmartSolar MPPT 100/50</v>
      </c>
      <c r="B7" s="57" t="s">
        <v>6</v>
      </c>
      <c r="C7" s="57" t="s">
        <v>353</v>
      </c>
      <c r="D7" s="68">
        <v>700</v>
      </c>
      <c r="E7" s="68">
        <v>1400</v>
      </c>
      <c r="F7" s="69">
        <v>0</v>
      </c>
      <c r="G7" s="69">
        <v>0</v>
      </c>
      <c r="H7" s="68">
        <v>100</v>
      </c>
      <c r="I7" s="70">
        <v>5</v>
      </c>
      <c r="J7" s="70">
        <v>1</v>
      </c>
      <c r="K7" s="68">
        <v>12</v>
      </c>
      <c r="L7" s="68">
        <v>24</v>
      </c>
      <c r="M7" s="69" t="s">
        <v>117</v>
      </c>
      <c r="N7" s="69" t="s">
        <v>117</v>
      </c>
      <c r="O7" s="69">
        <v>60</v>
      </c>
      <c r="P7" s="68">
        <v>50</v>
      </c>
      <c r="Q7" s="68">
        <v>0.98</v>
      </c>
      <c r="R7" s="68">
        <v>0.98</v>
      </c>
      <c r="S7" s="69">
        <v>0</v>
      </c>
      <c r="T7" s="69">
        <v>0</v>
      </c>
      <c r="U7" s="40"/>
    </row>
    <row r="8" spans="1:21" x14ac:dyDescent="0.25">
      <c r="A8" s="56" t="str">
        <f t="shared" si="0"/>
        <v>Victron Energy Blue-/ SmartSolar MPPT 150/35</v>
      </c>
      <c r="B8" s="57" t="s">
        <v>6</v>
      </c>
      <c r="C8" s="57" t="s">
        <v>354</v>
      </c>
      <c r="D8" s="68">
        <v>500</v>
      </c>
      <c r="E8" s="68">
        <v>1000</v>
      </c>
      <c r="F8" s="68">
        <v>1500</v>
      </c>
      <c r="G8" s="68">
        <v>2000</v>
      </c>
      <c r="H8" s="68">
        <v>150</v>
      </c>
      <c r="I8" s="70">
        <v>5</v>
      </c>
      <c r="J8" s="70">
        <v>1</v>
      </c>
      <c r="K8" s="68">
        <v>12</v>
      </c>
      <c r="L8" s="68">
        <v>24</v>
      </c>
      <c r="M8" s="68">
        <v>36</v>
      </c>
      <c r="N8" s="68">
        <v>48</v>
      </c>
      <c r="O8" s="68">
        <v>40</v>
      </c>
      <c r="P8" s="68">
        <v>35</v>
      </c>
      <c r="Q8" s="68">
        <v>0.98</v>
      </c>
      <c r="R8" s="68">
        <v>0.98</v>
      </c>
      <c r="S8" s="68">
        <v>0.98</v>
      </c>
      <c r="T8" s="68">
        <v>0.98</v>
      </c>
      <c r="U8" s="40"/>
    </row>
    <row r="9" spans="1:21" x14ac:dyDescent="0.25">
      <c r="A9" s="56" t="str">
        <f t="shared" si="0"/>
        <v>Victron Energy Blue-/ SmartSolar MPPT 150/45 Tr/MC4</v>
      </c>
      <c r="B9" s="57" t="s">
        <v>6</v>
      </c>
      <c r="C9" s="57" t="s">
        <v>368</v>
      </c>
      <c r="D9" s="68">
        <v>650</v>
      </c>
      <c r="E9" s="68">
        <v>1300</v>
      </c>
      <c r="F9" s="68"/>
      <c r="G9" s="68">
        <v>2600</v>
      </c>
      <c r="H9" s="68">
        <v>150</v>
      </c>
      <c r="I9" s="70">
        <v>5</v>
      </c>
      <c r="J9" s="70">
        <v>1</v>
      </c>
      <c r="K9" s="68">
        <v>12</v>
      </c>
      <c r="L9" s="68">
        <v>24</v>
      </c>
      <c r="M9" s="68">
        <v>36</v>
      </c>
      <c r="N9" s="68">
        <v>48</v>
      </c>
      <c r="O9" s="68">
        <v>50</v>
      </c>
      <c r="P9" s="68">
        <v>45</v>
      </c>
      <c r="Q9" s="68">
        <v>0.98</v>
      </c>
      <c r="R9" s="68">
        <v>0.98</v>
      </c>
      <c r="S9" s="68">
        <v>0.98</v>
      </c>
      <c r="T9" s="68">
        <v>0.98</v>
      </c>
      <c r="U9" s="40"/>
    </row>
    <row r="10" spans="1:21" x14ac:dyDescent="0.25">
      <c r="A10" s="56" t="str">
        <f t="shared" si="0"/>
        <v>Victron Energy Blue-/ SmartSolar MPPT 150/60 Tr/MC4</v>
      </c>
      <c r="B10" s="57" t="s">
        <v>6</v>
      </c>
      <c r="C10" s="57" t="s">
        <v>369</v>
      </c>
      <c r="D10" s="68">
        <v>860</v>
      </c>
      <c r="E10" s="68">
        <v>1720</v>
      </c>
      <c r="F10" s="68"/>
      <c r="G10" s="68">
        <v>3440</v>
      </c>
      <c r="H10" s="68">
        <v>150</v>
      </c>
      <c r="I10" s="70">
        <v>5</v>
      </c>
      <c r="J10" s="70">
        <v>1</v>
      </c>
      <c r="K10" s="68">
        <v>12</v>
      </c>
      <c r="L10" s="68">
        <v>24</v>
      </c>
      <c r="M10" s="68">
        <v>36</v>
      </c>
      <c r="N10" s="68">
        <v>48</v>
      </c>
      <c r="O10" s="68">
        <v>50</v>
      </c>
      <c r="P10" s="68">
        <v>60</v>
      </c>
      <c r="Q10" s="68">
        <v>0.98</v>
      </c>
      <c r="R10" s="68">
        <v>0.98</v>
      </c>
      <c r="S10" s="68">
        <v>0.98</v>
      </c>
      <c r="T10" s="68">
        <v>0.98</v>
      </c>
      <c r="U10" s="40"/>
    </row>
    <row r="11" spans="1:21" x14ac:dyDescent="0.25">
      <c r="A11" s="56" t="str">
        <f t="shared" si="0"/>
        <v>Victron Energy Blue-/ SmartSolar MPPT 150/70 Tr/Tr VE.Can/MC4</v>
      </c>
      <c r="B11" s="57" t="s">
        <v>6</v>
      </c>
      <c r="C11" s="57" t="s">
        <v>415</v>
      </c>
      <c r="D11" s="68">
        <v>1000</v>
      </c>
      <c r="E11" s="68">
        <v>2000</v>
      </c>
      <c r="F11" s="68"/>
      <c r="G11" s="68">
        <v>4000</v>
      </c>
      <c r="H11" s="68">
        <v>150</v>
      </c>
      <c r="I11" s="70">
        <v>5</v>
      </c>
      <c r="J11" s="70">
        <v>1</v>
      </c>
      <c r="K11" s="68">
        <v>12</v>
      </c>
      <c r="L11" s="68">
        <v>24</v>
      </c>
      <c r="M11" s="68">
        <v>36</v>
      </c>
      <c r="N11" s="68">
        <v>48</v>
      </c>
      <c r="O11" s="68">
        <v>50</v>
      </c>
      <c r="P11" s="68">
        <v>70</v>
      </c>
      <c r="Q11" s="68">
        <v>0.98</v>
      </c>
      <c r="R11" s="68">
        <v>0.98</v>
      </c>
      <c r="S11" s="68">
        <v>0.98</v>
      </c>
      <c r="T11" s="68">
        <v>0.98</v>
      </c>
      <c r="U11" s="40"/>
    </row>
    <row r="12" spans="1:21" x14ac:dyDescent="0.25">
      <c r="A12" s="56" t="str">
        <f t="shared" si="0"/>
        <v>Victron Energy SmartSolar MPPT 150/85 Tr/Tr VE.Can/MC4</v>
      </c>
      <c r="B12" s="57" t="s">
        <v>6</v>
      </c>
      <c r="C12" s="57" t="s">
        <v>421</v>
      </c>
      <c r="D12" s="68">
        <v>1200</v>
      </c>
      <c r="E12" s="68">
        <v>2400</v>
      </c>
      <c r="F12" s="68"/>
      <c r="G12" s="68">
        <v>4900</v>
      </c>
      <c r="H12" s="68">
        <v>150</v>
      </c>
      <c r="I12" s="70">
        <v>5</v>
      </c>
      <c r="J12" s="70">
        <v>1</v>
      </c>
      <c r="K12" s="68">
        <v>12</v>
      </c>
      <c r="L12" s="68">
        <v>24</v>
      </c>
      <c r="M12" s="68">
        <v>36</v>
      </c>
      <c r="N12" s="68">
        <v>48</v>
      </c>
      <c r="O12" s="68">
        <v>70</v>
      </c>
      <c r="P12" s="68">
        <v>85</v>
      </c>
      <c r="Q12" s="68">
        <v>0.98</v>
      </c>
      <c r="R12" s="68">
        <v>0.98</v>
      </c>
      <c r="S12" s="68">
        <v>0.98</v>
      </c>
      <c r="T12" s="68">
        <v>0.98</v>
      </c>
      <c r="U12" s="40"/>
    </row>
    <row r="13" spans="1:21" x14ac:dyDescent="0.25">
      <c r="A13" s="56" t="str">
        <f t="shared" si="0"/>
        <v>Victron Energy SmartSolar MPPT 150/100 Tr/Tr VE.Can/MC4</v>
      </c>
      <c r="B13" s="57" t="s">
        <v>6</v>
      </c>
      <c r="C13" s="57" t="s">
        <v>416</v>
      </c>
      <c r="D13" s="68">
        <v>1450</v>
      </c>
      <c r="E13" s="68">
        <v>2900</v>
      </c>
      <c r="F13" s="68"/>
      <c r="G13" s="68">
        <v>5800</v>
      </c>
      <c r="H13" s="68">
        <v>150</v>
      </c>
      <c r="I13" s="70">
        <v>5</v>
      </c>
      <c r="J13" s="70">
        <v>1</v>
      </c>
      <c r="K13" s="68">
        <v>12</v>
      </c>
      <c r="L13" s="68">
        <v>24</v>
      </c>
      <c r="M13" s="68">
        <v>36</v>
      </c>
      <c r="N13" s="68">
        <v>48</v>
      </c>
      <c r="O13" s="68">
        <v>70</v>
      </c>
      <c r="P13" s="68">
        <v>100</v>
      </c>
      <c r="Q13" s="68">
        <v>0.98</v>
      </c>
      <c r="R13" s="68">
        <v>0.98</v>
      </c>
      <c r="S13" s="68">
        <v>0.98</v>
      </c>
      <c r="T13" s="68">
        <v>0.98</v>
      </c>
      <c r="U13" s="40"/>
    </row>
    <row r="14" spans="1:21" x14ac:dyDescent="0.25">
      <c r="A14" s="56" t="str">
        <f t="shared" si="0"/>
        <v>Victron Energy SmartSolar MPPT 250/60 Tr/MC4</v>
      </c>
      <c r="B14" s="57" t="s">
        <v>6</v>
      </c>
      <c r="C14" s="57" t="s">
        <v>358</v>
      </c>
      <c r="D14" s="68">
        <v>860</v>
      </c>
      <c r="E14" s="68">
        <v>1720</v>
      </c>
      <c r="F14" s="68"/>
      <c r="G14" s="68">
        <v>3440</v>
      </c>
      <c r="H14" s="68">
        <v>250</v>
      </c>
      <c r="I14" s="70">
        <v>5</v>
      </c>
      <c r="J14" s="70">
        <v>1</v>
      </c>
      <c r="K14" s="68">
        <v>12</v>
      </c>
      <c r="L14" s="68">
        <v>24</v>
      </c>
      <c r="M14" s="68">
        <v>36</v>
      </c>
      <c r="N14" s="68">
        <v>48</v>
      </c>
      <c r="O14" s="68">
        <v>35</v>
      </c>
      <c r="P14" s="68">
        <v>60</v>
      </c>
      <c r="Q14" s="68">
        <v>0.99</v>
      </c>
      <c r="R14" s="68">
        <v>0.99</v>
      </c>
      <c r="S14" s="68">
        <v>0.99</v>
      </c>
      <c r="T14" s="68">
        <v>0.99</v>
      </c>
      <c r="U14" s="40"/>
    </row>
    <row r="15" spans="1:21" x14ac:dyDescent="0.25">
      <c r="A15" s="56" t="str">
        <f t="shared" si="0"/>
        <v>Victron Energy SmartSolar MPPT 250/70 Tr/Tr VE.Can/MC4</v>
      </c>
      <c r="B15" s="57" t="s">
        <v>6</v>
      </c>
      <c r="C15" s="57" t="s">
        <v>418</v>
      </c>
      <c r="D15" s="68">
        <v>1000</v>
      </c>
      <c r="E15" s="68">
        <v>2000</v>
      </c>
      <c r="F15" s="68"/>
      <c r="G15" s="68">
        <v>4000</v>
      </c>
      <c r="H15" s="68">
        <v>250</v>
      </c>
      <c r="I15" s="70">
        <v>5</v>
      </c>
      <c r="J15" s="70">
        <v>1</v>
      </c>
      <c r="K15" s="68">
        <v>12</v>
      </c>
      <c r="L15" s="68">
        <v>24</v>
      </c>
      <c r="M15" s="68">
        <v>36</v>
      </c>
      <c r="N15" s="68">
        <v>48</v>
      </c>
      <c r="O15" s="68">
        <v>35</v>
      </c>
      <c r="P15" s="68">
        <v>70</v>
      </c>
      <c r="Q15" s="68">
        <v>0.99</v>
      </c>
      <c r="R15" s="68">
        <v>0.99</v>
      </c>
      <c r="S15" s="68">
        <v>0.99</v>
      </c>
      <c r="T15" s="68">
        <v>0.99</v>
      </c>
      <c r="U15" s="40"/>
    </row>
    <row r="16" spans="1:21" x14ac:dyDescent="0.25">
      <c r="A16" s="56" t="str">
        <f t="shared" si="0"/>
        <v>Victron Energy SmartSolar MPPT 250/85 Tr/Tr VE.Can/MC4</v>
      </c>
      <c r="B16" s="57" t="s">
        <v>6</v>
      </c>
      <c r="C16" s="57" t="s">
        <v>422</v>
      </c>
      <c r="D16" s="68">
        <v>1200</v>
      </c>
      <c r="E16" s="68">
        <v>2400</v>
      </c>
      <c r="F16" s="68"/>
      <c r="G16" s="68">
        <v>4900</v>
      </c>
      <c r="H16" s="68">
        <v>250</v>
      </c>
      <c r="I16" s="70">
        <v>5</v>
      </c>
      <c r="J16" s="70">
        <v>1</v>
      </c>
      <c r="K16" s="68">
        <v>12</v>
      </c>
      <c r="L16" s="68">
        <v>24</v>
      </c>
      <c r="M16" s="68">
        <v>36</v>
      </c>
      <c r="N16" s="68">
        <v>48</v>
      </c>
      <c r="O16" s="68">
        <v>70</v>
      </c>
      <c r="P16" s="68">
        <v>85</v>
      </c>
      <c r="Q16" s="68">
        <v>0.99</v>
      </c>
      <c r="R16" s="68">
        <v>0.99</v>
      </c>
      <c r="S16" s="68">
        <v>0.99</v>
      </c>
      <c r="T16" s="68">
        <v>0.99</v>
      </c>
      <c r="U16" s="40"/>
    </row>
    <row r="17" spans="1:21" x14ac:dyDescent="0.25">
      <c r="A17" s="56" t="str">
        <f t="shared" si="0"/>
        <v>Victron Energy SmartSolar MPPT 250/100 Tr/Tr VE.Can/MC4</v>
      </c>
      <c r="B17" s="57" t="s">
        <v>6</v>
      </c>
      <c r="C17" s="57" t="s">
        <v>419</v>
      </c>
      <c r="D17" s="68">
        <v>1450</v>
      </c>
      <c r="E17" s="68">
        <v>2900</v>
      </c>
      <c r="F17" s="68"/>
      <c r="G17" s="68">
        <v>5800</v>
      </c>
      <c r="H17" s="68">
        <v>250</v>
      </c>
      <c r="I17" s="70">
        <v>5</v>
      </c>
      <c r="J17" s="70">
        <v>1</v>
      </c>
      <c r="K17" s="68">
        <v>12</v>
      </c>
      <c r="L17" s="68">
        <v>24</v>
      </c>
      <c r="M17" s="68">
        <v>36</v>
      </c>
      <c r="N17" s="68">
        <v>48</v>
      </c>
      <c r="O17" s="68">
        <v>70</v>
      </c>
      <c r="P17" s="68">
        <v>100</v>
      </c>
      <c r="Q17" s="68">
        <v>0.99</v>
      </c>
      <c r="R17" s="68">
        <v>0.99</v>
      </c>
      <c r="S17" s="68">
        <v>0.99</v>
      </c>
      <c r="T17" s="68">
        <v>0.99</v>
      </c>
      <c r="U17" s="40"/>
    </row>
    <row r="18" spans="1:21" x14ac:dyDescent="0.25">
      <c r="A18" s="40"/>
    </row>
    <row r="19" spans="1:21" x14ac:dyDescent="0.25">
      <c r="A19" s="173" t="s">
        <v>482</v>
      </c>
      <c r="B19" s="173" t="s">
        <v>0</v>
      </c>
      <c r="C19" s="173" t="s">
        <v>1</v>
      </c>
      <c r="D19" s="173" t="s">
        <v>10</v>
      </c>
      <c r="E19" s="173" t="s">
        <v>11</v>
      </c>
      <c r="F19" s="173" t="s">
        <v>12</v>
      </c>
      <c r="G19" s="173" t="s">
        <v>13</v>
      </c>
      <c r="H19" s="173" t="s">
        <v>60</v>
      </c>
      <c r="I19" s="173" t="s">
        <v>61</v>
      </c>
      <c r="J19" s="173" t="s">
        <v>62</v>
      </c>
      <c r="K19" s="221" t="s">
        <v>19</v>
      </c>
      <c r="L19" s="221"/>
      <c r="M19" s="221"/>
      <c r="N19" s="221"/>
      <c r="O19" s="173" t="s">
        <v>310</v>
      </c>
      <c r="P19" s="173" t="s">
        <v>20</v>
      </c>
      <c r="Q19" s="55" t="s">
        <v>25</v>
      </c>
      <c r="R19" s="55" t="s">
        <v>26</v>
      </c>
      <c r="S19" s="55" t="s">
        <v>27</v>
      </c>
      <c r="T19" s="55" t="s">
        <v>28</v>
      </c>
      <c r="U19" s="55" t="s">
        <v>535</v>
      </c>
    </row>
    <row r="20" spans="1:21" x14ac:dyDescent="0.25">
      <c r="A20" s="56" t="str">
        <f>B20&amp;" "&amp;C20</f>
        <v>Victron Energy SmartSolar MPPT RS 450/100</v>
      </c>
      <c r="B20" s="57" t="s">
        <v>6</v>
      </c>
      <c r="C20" s="57" t="s">
        <v>483</v>
      </c>
      <c r="D20" s="68"/>
      <c r="E20" s="68"/>
      <c r="F20" s="68"/>
      <c r="G20" s="68">
        <v>5760</v>
      </c>
      <c r="H20" s="68">
        <v>450</v>
      </c>
      <c r="I20" s="174">
        <v>120</v>
      </c>
      <c r="J20" s="174">
        <v>80</v>
      </c>
      <c r="K20" s="69" t="s">
        <v>117</v>
      </c>
      <c r="L20" s="69" t="s">
        <v>117</v>
      </c>
      <c r="M20" s="69" t="s">
        <v>117</v>
      </c>
      <c r="N20" s="68">
        <v>48</v>
      </c>
      <c r="O20" s="68">
        <v>18</v>
      </c>
      <c r="P20" s="68">
        <v>100</v>
      </c>
      <c r="Q20" s="68">
        <v>0</v>
      </c>
      <c r="R20" s="68">
        <v>0</v>
      </c>
      <c r="S20" s="68">
        <v>0</v>
      </c>
      <c r="T20" s="68">
        <v>0.96</v>
      </c>
      <c r="U20" s="68">
        <v>70</v>
      </c>
    </row>
  </sheetData>
  <sheetProtection algorithmName="SHA-512" hashValue="hxVG5wc/TAOF4w+Ecm041Yekio7UnZQwaXMCVKwPPBMGxE+aAXhPlcejojvpAgQY40m7Tg7saBYm2KK8CGUGSw==" saltValue="cIw0LT1mSpT9+aQmNepdIw==" spinCount="100000" sheet="1" selectLockedCells="1" selectUnlockedCells="1"/>
  <mergeCells count="2">
    <mergeCell ref="K1:N1"/>
    <mergeCell ref="K19:N19"/>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M50"/>
  <sheetViews>
    <sheetView workbookViewId="0">
      <selection activeCell="C24" sqref="C24"/>
    </sheetView>
  </sheetViews>
  <sheetFormatPr defaultColWidth="9.140625" defaultRowHeight="15" x14ac:dyDescent="0.25"/>
  <cols>
    <col min="1" max="1" width="14.42578125" customWidth="1"/>
    <col min="2" max="2" width="12.7109375" customWidth="1"/>
    <col min="3" max="3" width="20" customWidth="1"/>
    <col min="4" max="4" width="51.85546875" customWidth="1"/>
    <col min="5" max="5" width="13" customWidth="1"/>
    <col min="6" max="11" width="20" customWidth="1"/>
  </cols>
  <sheetData>
    <row r="1" spans="1:7" s="2" customFormat="1" ht="2.25" customHeight="1" x14ac:dyDescent="0.25"/>
    <row r="2" spans="1:7" s="1" customFormat="1" x14ac:dyDescent="0.25">
      <c r="A2" s="1" t="s">
        <v>23</v>
      </c>
    </row>
    <row r="3" spans="1:7" s="3" customFormat="1" ht="7.5" customHeight="1" x14ac:dyDescent="0.25"/>
    <row r="4" spans="1:7" s="16" customFormat="1" x14ac:dyDescent="0.25">
      <c r="A4" s="16" t="s">
        <v>39</v>
      </c>
      <c r="C4" s="17">
        <f>'Blue- &amp; SmartSolar'!F12</f>
        <v>-10</v>
      </c>
      <c r="D4" s="16" t="s">
        <v>15</v>
      </c>
      <c r="E4" s="159">
        <f>'Blue- &amp; SmartSolar'!E11</f>
        <v>-10</v>
      </c>
    </row>
    <row r="5" spans="1:7" s="16" customFormat="1" x14ac:dyDescent="0.25">
      <c r="C5" s="17">
        <f>'Blue- &amp; SmartSolar'!H12</f>
        <v>70</v>
      </c>
      <c r="D5" s="16" t="s">
        <v>16</v>
      </c>
      <c r="E5" s="159">
        <f>'Blue- &amp; SmartSolar'!H11</f>
        <v>70</v>
      </c>
    </row>
    <row r="6" spans="1:7" s="3" customFormat="1" ht="7.5" customHeight="1" x14ac:dyDescent="0.25">
      <c r="C6" s="49"/>
    </row>
    <row r="7" spans="1:7" s="16" customFormat="1" x14ac:dyDescent="0.25">
      <c r="A7" s="16" t="s">
        <v>76</v>
      </c>
      <c r="C7" s="18">
        <f>INDEX(Modules!B3:J34,'Blue- &amp; SmartSolar'!D4,6)*'Blue- &amp; SmartSolar'!D6</f>
        <v>198.5</v>
      </c>
      <c r="D7" s="16" t="s">
        <v>56</v>
      </c>
      <c r="E7" s="17"/>
      <c r="F7" s="27"/>
      <c r="G7" s="161"/>
    </row>
    <row r="8" spans="1:7" s="16" customFormat="1" x14ac:dyDescent="0.25">
      <c r="C8" s="18">
        <f>INDEX(Modules!B3:J34,'Blue- &amp; SmartSolar'!D4,4)*'Blue- &amp; SmartSolar'!D6</f>
        <v>162.5</v>
      </c>
      <c r="D8" s="16" t="s">
        <v>57</v>
      </c>
    </row>
    <row r="9" spans="1:7" s="16" customFormat="1" x14ac:dyDescent="0.25">
      <c r="C9" s="19">
        <f>INDEX(Modules!B3:J34,'Blue- &amp; SmartSolar'!D4,7)*'Blue- &amp; SmartSolar'!H6</f>
        <v>10.27</v>
      </c>
      <c r="D9" s="16" t="s">
        <v>33</v>
      </c>
    </row>
    <row r="10" spans="1:7" s="16" customFormat="1" x14ac:dyDescent="0.25">
      <c r="C10" s="19">
        <f>INDEX(Modules!B3:J34,'Blue- &amp; SmartSolar'!D4,5)*'Blue- &amp; SmartSolar'!H6</f>
        <v>9.3800000000000008</v>
      </c>
      <c r="D10" s="16" t="s">
        <v>34</v>
      </c>
    </row>
    <row r="11" spans="1:7" s="16" customFormat="1" x14ac:dyDescent="0.25">
      <c r="C11" s="164">
        <f>$C$10*$C$8/E20</f>
        <v>31.755208333333339</v>
      </c>
      <c r="D11" s="165" t="s">
        <v>32</v>
      </c>
    </row>
    <row r="12" spans="1:7" s="16" customFormat="1" x14ac:dyDescent="0.25">
      <c r="C12" s="20">
        <f>INDEX(Modules!B3:J34,'Blue- &amp; SmartSolar'!D4,8)</f>
        <v>-0.35</v>
      </c>
      <c r="D12" s="16" t="s">
        <v>58</v>
      </c>
    </row>
    <row r="13" spans="1:7" s="16" customFormat="1" x14ac:dyDescent="0.25">
      <c r="C13" s="21">
        <f>(C7/100)*C12</f>
        <v>-0.69474999999999998</v>
      </c>
      <c r="D13" s="16" t="s">
        <v>59</v>
      </c>
    </row>
    <row r="14" spans="1:7" s="16" customFormat="1" x14ac:dyDescent="0.25">
      <c r="C14" s="20">
        <f>INDEX(Modules!B3:J34,'Blue- &amp; SmartSolar'!D4,9)</f>
        <v>0.04</v>
      </c>
      <c r="D14" s="16" t="s">
        <v>21</v>
      </c>
    </row>
    <row r="15" spans="1:7" s="16" customFormat="1" x14ac:dyDescent="0.25">
      <c r="C15" s="22">
        <f>C9*(C14/100)</f>
        <v>4.1079999999999997E-3</v>
      </c>
      <c r="D15" s="16" t="s">
        <v>22</v>
      </c>
    </row>
    <row r="16" spans="1:7" s="16" customFormat="1" x14ac:dyDescent="0.25">
      <c r="C16" s="119">
        <f>'Blue- &amp; SmartSolar'!D8</f>
        <v>1525</v>
      </c>
      <c r="D16" s="16" t="s">
        <v>304</v>
      </c>
    </row>
    <row r="17" spans="1:11" s="3" customFormat="1" ht="7.5" customHeight="1" x14ac:dyDescent="0.25"/>
    <row r="18" spans="1:11" s="16" customFormat="1" x14ac:dyDescent="0.25">
      <c r="A18" s="16" t="s">
        <v>44</v>
      </c>
      <c r="C18" s="18">
        <f>INDEX(Regulator!$B$2:$H$17,'Blue- &amp; SmartSolar'!$D$13,7)</f>
        <v>250</v>
      </c>
      <c r="D18" s="16" t="s">
        <v>60</v>
      </c>
      <c r="E18" s="23">
        <f>INDEX(Regulator!B2:P17,'Blue- &amp; SmartSolar'!$D$13,15)</f>
        <v>100</v>
      </c>
      <c r="F18" s="16" t="s">
        <v>20</v>
      </c>
    </row>
    <row r="19" spans="1:11" s="16" customFormat="1" x14ac:dyDescent="0.25">
      <c r="C19" s="18">
        <f>INDEX(Regulator!B2:J17,'Blue- &amp; SmartSolar'!D13,8)+E20</f>
        <v>53</v>
      </c>
      <c r="D19" s="16" t="s">
        <v>61</v>
      </c>
      <c r="E19" s="23">
        <f>INDEX(Regulator!B2:P17,'Blue- &amp; SmartSolar'!$D$13,14)</f>
        <v>70</v>
      </c>
      <c r="F19" s="16" t="s">
        <v>310</v>
      </c>
      <c r="H19" s="25"/>
    </row>
    <row r="20" spans="1:11" s="16" customFormat="1" x14ac:dyDescent="0.25">
      <c r="C20" s="18">
        <f>INDEX(Regulator!$B$2:$J$28,'Blue- &amp; SmartSolar'!$E$15,9)+E20</f>
        <v>49</v>
      </c>
      <c r="D20" s="16" t="s">
        <v>62</v>
      </c>
      <c r="E20" s="24">
        <f>IF(INDEX('Blue- &amp; SmartSolar'!$M$12:$M$15,'Blue- &amp; SmartSolar'!$E$15,1)="N.A.",0,INDEX('Blue- &amp; SmartSolar'!$M$12:$M$15,'Blue- &amp; SmartSolar'!$E$15,1))</f>
        <v>48</v>
      </c>
      <c r="F20" s="16" t="s">
        <v>17</v>
      </c>
      <c r="G20" s="25">
        <f>IF(E20=12,16,IF(E20=24,17,IF(E20=36,18,19)))</f>
        <v>19</v>
      </c>
    </row>
    <row r="21" spans="1:11" s="16" customFormat="1" x14ac:dyDescent="0.25">
      <c r="C21" s="119">
        <f>IF(E20=48,INDEX(Regulator!D2:G17,'Blue- &amp; SmartSolar'!D13,4),IF(E20=36,INDEX(Regulator!D2:G17,'Blue- &amp; SmartSolar'!D13,3),IF(E20=24,INDEX(Regulator!D2:G17,'Blue- &amp; SmartSolar'!D13,2),IF(E20=12,INDEX(Regulator!D2:G17,'Blue- &amp; SmartSolar'!D13,1),0))))</f>
        <v>5800</v>
      </c>
      <c r="D21" s="16" t="s">
        <v>307</v>
      </c>
      <c r="E21" s="16">
        <f>INDEX(Regulator!B2:T17,'Blue- &amp; SmartSolar'!$D$13,G20)</f>
        <v>0.99</v>
      </c>
      <c r="F21" s="16" t="s">
        <v>29</v>
      </c>
    </row>
    <row r="22" spans="1:11" s="72" customFormat="1" ht="7.5" customHeight="1" x14ac:dyDescent="0.25">
      <c r="C22" s="73"/>
    </row>
    <row r="23" spans="1:11" s="16" customFormat="1" x14ac:dyDescent="0.25">
      <c r="A23" s="16" t="s">
        <v>199</v>
      </c>
      <c r="C23" s="76">
        <v>1.78E-2</v>
      </c>
      <c r="D23" s="16" t="s">
        <v>201</v>
      </c>
    </row>
    <row r="24" spans="1:11" s="16" customFormat="1" x14ac:dyDescent="0.25">
      <c r="C24" s="77">
        <f>(('Blue- &amp; SmartSolar'!H17+'Blue- &amp; SmartSolar'!H17)*C23)/'Blue- &amp; SmartSolar'!H18</f>
        <v>5.9333333333333328E-2</v>
      </c>
      <c r="D24" s="16" t="s">
        <v>204</v>
      </c>
    </row>
    <row r="25" spans="1:11" s="3" customFormat="1" ht="7.5" customHeight="1" x14ac:dyDescent="0.25">
      <c r="A25" s="72"/>
      <c r="B25" s="72"/>
      <c r="C25" s="4"/>
    </row>
    <row r="26" spans="1:11" s="2" customFormat="1" ht="2.25" customHeight="1" x14ac:dyDescent="0.25"/>
    <row r="27" spans="1:11" s="1" customFormat="1" ht="15" customHeight="1" x14ac:dyDescent="0.25">
      <c r="A27" s="1" t="s">
        <v>484</v>
      </c>
    </row>
    <row r="28" spans="1:11" s="3" customFormat="1" ht="7.5" customHeight="1" x14ac:dyDescent="0.25"/>
    <row r="29" spans="1:11" s="27" customFormat="1" x14ac:dyDescent="0.25">
      <c r="A29" s="27" t="s">
        <v>14</v>
      </c>
      <c r="C29" s="27" t="s">
        <v>63</v>
      </c>
      <c r="D29" s="27" t="s">
        <v>68</v>
      </c>
      <c r="E29" s="27" t="s">
        <v>69</v>
      </c>
      <c r="F29" s="27" t="s">
        <v>70</v>
      </c>
      <c r="G29" s="78" t="s">
        <v>71</v>
      </c>
      <c r="H29" s="27" t="s">
        <v>202</v>
      </c>
      <c r="I29" s="27" t="s">
        <v>72</v>
      </c>
      <c r="J29" s="78" t="s">
        <v>73</v>
      </c>
      <c r="K29" s="27" t="s">
        <v>203</v>
      </c>
    </row>
    <row r="30" spans="1:11" s="27" customFormat="1" x14ac:dyDescent="0.25">
      <c r="A30" s="160">
        <f>IF('Blue- &amp; SmartSolar'!$B$12=1,B30, ((B30)*9/5)+32)</f>
        <v>-10</v>
      </c>
      <c r="B30" s="160">
        <f>C4</f>
        <v>-10</v>
      </c>
      <c r="C30" s="29">
        <f>$C$18</f>
        <v>250</v>
      </c>
      <c r="D30" s="29">
        <f>$C$19</f>
        <v>53</v>
      </c>
      <c r="E30" s="29">
        <f>$C$20</f>
        <v>49</v>
      </c>
      <c r="F30" s="29">
        <f>$C$7+($C$13*-(25-B30))</f>
        <v>222.81625</v>
      </c>
      <c r="G30" s="79">
        <f>$C$8+($C$13*-(25-B30))</f>
        <v>186.81625</v>
      </c>
      <c r="H30" s="30">
        <f>($C$8+($C$13*-(25-B30))-($C$24*D40))</f>
        <v>186.26823428</v>
      </c>
      <c r="J30" s="78"/>
    </row>
    <row r="31" spans="1:11" s="27" customFormat="1" x14ac:dyDescent="0.25">
      <c r="A31" s="160">
        <f>IF('Blue- &amp; SmartSolar'!$B$12=1,B31, ((B31)*9/5)+32)</f>
        <v>-5</v>
      </c>
      <c r="B31" s="27">
        <f>B30+5</f>
        <v>-5</v>
      </c>
      <c r="C31" s="29">
        <f t="shared" ref="C31:C37" si="0">$C$18</f>
        <v>250</v>
      </c>
      <c r="D31" s="29">
        <f t="shared" ref="D31:D37" si="1">$C$19</f>
        <v>53</v>
      </c>
      <c r="E31" s="29">
        <f t="shared" ref="E31:E37" si="2">$C$20</f>
        <v>49</v>
      </c>
      <c r="F31" s="29">
        <f>$C$7+($C$13*-(25-B31))</f>
        <v>219.3425</v>
      </c>
      <c r="G31" s="79">
        <f>$C$8+($C$13*-(25-B31))</f>
        <v>183.3425</v>
      </c>
      <c r="H31" s="30">
        <f>($C$8+($C$13*-(25-B31))-($C$24*D41))</f>
        <v>182.79326557333334</v>
      </c>
      <c r="J31" s="78"/>
    </row>
    <row r="32" spans="1:11" s="27" customFormat="1" x14ac:dyDescent="0.25">
      <c r="A32" s="160">
        <f>IF('Blue- &amp; SmartSolar'!$B$12=1,B32, ((B32)*9/5)+32)</f>
        <v>0</v>
      </c>
      <c r="B32" s="27">
        <f>B31+5</f>
        <v>0</v>
      </c>
      <c r="C32" s="29">
        <f t="shared" si="0"/>
        <v>250</v>
      </c>
      <c r="D32" s="29">
        <f t="shared" si="1"/>
        <v>53</v>
      </c>
      <c r="E32" s="29">
        <f t="shared" si="2"/>
        <v>49</v>
      </c>
      <c r="F32" s="29">
        <f>$C$7+($C$13*-(25-B32))</f>
        <v>215.86875000000001</v>
      </c>
      <c r="G32" s="79">
        <f>$C$8+($C$13*-(25-B32))</f>
        <v>179.86875000000001</v>
      </c>
      <c r="H32" s="30">
        <f>($C$8+($C$13*-(25-B32))-($C$24*D42))</f>
        <v>179.31829686666669</v>
      </c>
      <c r="J32" s="78"/>
    </row>
    <row r="33" spans="1:13" s="27" customFormat="1" x14ac:dyDescent="0.25">
      <c r="A33" s="160">
        <f>IF('Blue- &amp; SmartSolar'!$B$12=1,B33, ((B33)*9/5)+32)</f>
        <v>5</v>
      </c>
      <c r="B33" s="27">
        <f>B32+5</f>
        <v>5</v>
      </c>
      <c r="C33" s="29">
        <f t="shared" si="0"/>
        <v>250</v>
      </c>
      <c r="D33" s="29">
        <f t="shared" si="1"/>
        <v>53</v>
      </c>
      <c r="E33" s="29">
        <f t="shared" si="2"/>
        <v>49</v>
      </c>
      <c r="F33" s="29">
        <f>$C$7+($C$13*-(25-B33))</f>
        <v>212.39500000000001</v>
      </c>
      <c r="G33" s="79">
        <f>$C$8+($C$13*-(25-B33))</f>
        <v>176.39500000000001</v>
      </c>
      <c r="H33" s="30">
        <f>($C$8+($C$13*-(25-B33))-($C$24*D43))</f>
        <v>175.84332816</v>
      </c>
      <c r="J33" s="78"/>
    </row>
    <row r="34" spans="1:13" s="27" customFormat="1" x14ac:dyDescent="0.25">
      <c r="A34" s="160">
        <f>IF('Blue- &amp; SmartSolar'!$B$12=1,B34, ((B34)*9/5)+32)</f>
        <v>55</v>
      </c>
      <c r="B34" s="27">
        <f>B35-5</f>
        <v>55</v>
      </c>
      <c r="C34" s="29">
        <f t="shared" si="0"/>
        <v>250</v>
      </c>
      <c r="D34" s="29">
        <f t="shared" si="1"/>
        <v>53</v>
      </c>
      <c r="E34" s="29">
        <f t="shared" si="2"/>
        <v>49</v>
      </c>
      <c r="F34" s="30"/>
      <c r="I34" s="29">
        <f>$C$7+($C$13*-(25-B34))</f>
        <v>177.6575</v>
      </c>
      <c r="J34" s="79">
        <f>$C$8+($C$13*-(25-B34))</f>
        <v>141.6575</v>
      </c>
      <c r="K34" s="29">
        <f>$C$8+($C$13*-(25-B34))-($C$24*D44)</f>
        <v>141.09364109333333</v>
      </c>
    </row>
    <row r="35" spans="1:13" s="27" customFormat="1" x14ac:dyDescent="0.25">
      <c r="A35" s="160">
        <f>IF('Blue- &amp; SmartSolar'!$B$12=1,B35, ((B35)*9/5)+32)</f>
        <v>60</v>
      </c>
      <c r="B35" s="27">
        <f>B36-5</f>
        <v>60</v>
      </c>
      <c r="C35" s="29">
        <f t="shared" si="0"/>
        <v>250</v>
      </c>
      <c r="D35" s="29">
        <f t="shared" si="1"/>
        <v>53</v>
      </c>
      <c r="E35" s="29">
        <f t="shared" si="2"/>
        <v>49</v>
      </c>
      <c r="F35" s="30"/>
      <c r="I35" s="29">
        <f>$C$7+($C$13*-(25-B35))</f>
        <v>174.18375</v>
      </c>
      <c r="J35" s="79">
        <f>$C$8+($C$13*-(25-B35))</f>
        <v>138.18375</v>
      </c>
      <c r="K35" s="29">
        <f>$C$8+($C$13*-(25-B35))-($C$24*D45)</f>
        <v>137.61867238666667</v>
      </c>
    </row>
    <row r="36" spans="1:13" s="27" customFormat="1" x14ac:dyDescent="0.25">
      <c r="A36" s="160">
        <f>IF('Blue- &amp; SmartSolar'!$B$12=1,B36, ((B36)*9/5)+32)</f>
        <v>65</v>
      </c>
      <c r="B36" s="27">
        <f>B37-5</f>
        <v>65</v>
      </c>
      <c r="C36" s="29">
        <f t="shared" si="0"/>
        <v>250</v>
      </c>
      <c r="D36" s="29">
        <f t="shared" si="1"/>
        <v>53</v>
      </c>
      <c r="E36" s="29">
        <f t="shared" si="2"/>
        <v>49</v>
      </c>
      <c r="F36" s="30"/>
      <c r="I36" s="29">
        <f>$C$7+($C$13*-(25-B36))</f>
        <v>170.71</v>
      </c>
      <c r="J36" s="79">
        <f>$C$8+($C$13*-(25-B36))</f>
        <v>134.71</v>
      </c>
      <c r="K36" s="29">
        <f>$C$8+($C$13*-(25-B36))-($C$24*D46)</f>
        <v>134.14370368000002</v>
      </c>
    </row>
    <row r="37" spans="1:13" s="27" customFormat="1" x14ac:dyDescent="0.25">
      <c r="A37" s="160">
        <f>IF('Blue- &amp; SmartSolar'!$B$12=1,B37, ((B37)*9/5)+32)</f>
        <v>70</v>
      </c>
      <c r="B37" s="160">
        <f>C5</f>
        <v>70</v>
      </c>
      <c r="C37" s="29">
        <f t="shared" si="0"/>
        <v>250</v>
      </c>
      <c r="D37" s="29">
        <f t="shared" si="1"/>
        <v>53</v>
      </c>
      <c r="E37" s="29">
        <f t="shared" si="2"/>
        <v>49</v>
      </c>
      <c r="F37" s="30"/>
      <c r="I37" s="29">
        <f>$C$7+($C$13*-(25-B37))</f>
        <v>167.23625000000001</v>
      </c>
      <c r="J37" s="79">
        <f>$C$8+($C$13*-(25-B37))</f>
        <v>131.23625000000001</v>
      </c>
      <c r="K37" s="29">
        <f>$C$8+($C$13*-(25-B37))-($C$24*D47)</f>
        <v>130.66873497333336</v>
      </c>
      <c r="L37" s="28"/>
      <c r="M37" s="28"/>
    </row>
    <row r="38" spans="1:13" s="26" customFormat="1" ht="7.5" customHeight="1" x14ac:dyDescent="0.25"/>
    <row r="39" spans="1:13" s="27" customFormat="1" x14ac:dyDescent="0.25">
      <c r="A39" s="27" t="s">
        <v>14</v>
      </c>
      <c r="C39" s="27" t="s">
        <v>75</v>
      </c>
      <c r="D39" s="27" t="s">
        <v>74</v>
      </c>
      <c r="E39" s="27" t="s">
        <v>19</v>
      </c>
      <c r="F39" s="27" t="s">
        <v>80</v>
      </c>
      <c r="G39" s="27" t="s">
        <v>81</v>
      </c>
    </row>
    <row r="40" spans="1:13" s="27" customFormat="1" x14ac:dyDescent="0.25">
      <c r="A40" s="160">
        <f>IF('Blue- &amp; SmartSolar'!$B$12=1,B40, ((B40)*9/5)+32)</f>
        <v>-10</v>
      </c>
      <c r="B40" s="160">
        <f>C4</f>
        <v>-10</v>
      </c>
      <c r="C40" s="31">
        <f>$E$18</f>
        <v>100</v>
      </c>
      <c r="D40" s="32">
        <f>$C$10+($C$15*-(25-B40))</f>
        <v>9.2362200000000012</v>
      </c>
      <c r="E40" s="33">
        <f>$E$20</f>
        <v>48</v>
      </c>
      <c r="F40" s="32">
        <f>IF((((D40*G30)/E40)*$E$21)&gt;$E$18,$E$18,(((D40*G30)/E40)*$E$21))</f>
        <v>35.587942181859376</v>
      </c>
    </row>
    <row r="41" spans="1:13" s="27" customFormat="1" x14ac:dyDescent="0.25">
      <c r="A41" s="160">
        <f>IF('Blue- &amp; SmartSolar'!$B$12=1,B41, ((B41)*9/5)+32)</f>
        <v>-5</v>
      </c>
      <c r="B41" s="27">
        <f>B40+5</f>
        <v>-5</v>
      </c>
      <c r="C41" s="31">
        <f t="shared" ref="C41:C47" si="3">$E$18</f>
        <v>100</v>
      </c>
      <c r="D41" s="32">
        <f t="shared" ref="D41:D47" si="4">$C$10+($C$15*-(25-B41))</f>
        <v>9.2567600000000017</v>
      </c>
      <c r="E41" s="33">
        <f t="shared" ref="E41:E47" si="5">$E$20</f>
        <v>48</v>
      </c>
      <c r="F41" s="32">
        <f>IF((((D41*G31)/E41)*$E$21)&gt;$E$18,$E$18,(((D41*G31)/E41)*$E$21))</f>
        <v>35.003873856187504</v>
      </c>
    </row>
    <row r="42" spans="1:13" s="27" customFormat="1" x14ac:dyDescent="0.25">
      <c r="A42" s="160">
        <f>IF('Blue- &amp; SmartSolar'!$B$12=1,B42, ((B42)*9/5)+32)</f>
        <v>0</v>
      </c>
      <c r="B42" s="27">
        <f>B41+5</f>
        <v>0</v>
      </c>
      <c r="C42" s="31">
        <f t="shared" si="3"/>
        <v>100</v>
      </c>
      <c r="D42" s="32">
        <f t="shared" si="4"/>
        <v>9.2773000000000003</v>
      </c>
      <c r="E42" s="33">
        <f t="shared" si="5"/>
        <v>48</v>
      </c>
      <c r="F42" s="32">
        <f>IF((((D42*G32)/E42)*$E$21)&gt;$E$18,$E$18,(((D42*G32)/E42)*$E$21))</f>
        <v>34.416862308984378</v>
      </c>
    </row>
    <row r="43" spans="1:13" s="27" customFormat="1" x14ac:dyDescent="0.25">
      <c r="A43" s="160">
        <f>IF('Blue- &amp; SmartSolar'!$B$12=1,B43, ((B43)*9/5)+32)</f>
        <v>5</v>
      </c>
      <c r="B43" s="27">
        <f>B42+5</f>
        <v>5</v>
      </c>
      <c r="C43" s="31">
        <f t="shared" si="3"/>
        <v>100</v>
      </c>
      <c r="D43" s="32">
        <f t="shared" si="4"/>
        <v>9.2978400000000008</v>
      </c>
      <c r="E43" s="33">
        <f t="shared" si="5"/>
        <v>48</v>
      </c>
      <c r="F43" s="32">
        <f>IF((((D43*G33)/E43)*$E$21)&gt;$E$18,$E$18,(((D43*G33)/E43)*$E$21))</f>
        <v>33.826907540249998</v>
      </c>
    </row>
    <row r="44" spans="1:13" s="27" customFormat="1" x14ac:dyDescent="0.25">
      <c r="A44" s="160">
        <f>IF('Blue- &amp; SmartSolar'!$B$12=1,B44, ((B44)*9/5)+32)</f>
        <v>55</v>
      </c>
      <c r="B44" s="27">
        <f>B45-5</f>
        <v>55</v>
      </c>
      <c r="C44" s="31">
        <f t="shared" si="3"/>
        <v>100</v>
      </c>
      <c r="D44" s="32">
        <f t="shared" si="4"/>
        <v>9.5032399999999999</v>
      </c>
      <c r="E44" s="33">
        <f t="shared" si="5"/>
        <v>48</v>
      </c>
      <c r="G44" s="32">
        <f>IF(((D44*J34)/E44*$E$21)&gt;$E$18,$E$18,((D44*J34)/E44*$E$21))</f>
        <v>27.7654826686875</v>
      </c>
      <c r="H44" s="32"/>
    </row>
    <row r="45" spans="1:13" s="27" customFormat="1" x14ac:dyDescent="0.25">
      <c r="A45" s="160">
        <f>IF('Blue- &amp; SmartSolar'!$B$12=1,B45, ((B45)*9/5)+32)</f>
        <v>60</v>
      </c>
      <c r="B45" s="27">
        <f>B46-5</f>
        <v>60</v>
      </c>
      <c r="C45" s="31">
        <f t="shared" si="3"/>
        <v>100</v>
      </c>
      <c r="D45" s="32">
        <f t="shared" si="4"/>
        <v>9.5237800000000004</v>
      </c>
      <c r="E45" s="33">
        <f t="shared" si="5"/>
        <v>48</v>
      </c>
      <c r="G45" s="32">
        <f>IF(((D45*J35)/E45*$E$21)&gt;$E$18,$E$18,((D45*J35)/E45*$E$21))</f>
        <v>27.143152463109377</v>
      </c>
      <c r="H45" s="32"/>
    </row>
    <row r="46" spans="1:13" s="27" customFormat="1" x14ac:dyDescent="0.25">
      <c r="A46" s="160">
        <f>IF('Blue- &amp; SmartSolar'!$B$12=1,B46, ((B46)*9/5)+32)</f>
        <v>65</v>
      </c>
      <c r="B46" s="27">
        <f>B47-5</f>
        <v>65</v>
      </c>
      <c r="C46" s="31">
        <f t="shared" si="3"/>
        <v>100</v>
      </c>
      <c r="D46" s="32">
        <f t="shared" si="4"/>
        <v>9.5443200000000008</v>
      </c>
      <c r="E46" s="33">
        <f t="shared" si="5"/>
        <v>48</v>
      </c>
      <c r="G46" s="32">
        <f>IF(((D46*J36)/E46*$E$21)&gt;$E$18,$E$18,((D46*J36)/E46*$E$21))</f>
        <v>26.517879036000004</v>
      </c>
      <c r="H46" s="32"/>
    </row>
    <row r="47" spans="1:13" s="27" customFormat="1" x14ac:dyDescent="0.25">
      <c r="A47" s="160">
        <f>IF('Blue- &amp; SmartSolar'!$B$12=1,B47, ((B47)*9/5)+32)</f>
        <v>70</v>
      </c>
      <c r="B47" s="160">
        <f>C5</f>
        <v>70</v>
      </c>
      <c r="C47" s="31">
        <f t="shared" si="3"/>
        <v>100</v>
      </c>
      <c r="D47" s="32">
        <f t="shared" si="4"/>
        <v>9.5648600000000012</v>
      </c>
      <c r="E47" s="33">
        <f t="shared" si="5"/>
        <v>48</v>
      </c>
      <c r="G47" s="32">
        <f>IF(((D47*J37)/E47*$E$21)&gt;$E$18,$E$18,((D47*J37)/E47*$E$21))</f>
        <v>25.88966238735938</v>
      </c>
      <c r="H47" s="32"/>
    </row>
    <row r="48" spans="1:13" s="3" customFormat="1" ht="7.5" customHeight="1" x14ac:dyDescent="0.25"/>
    <row r="49" spans="1:5" x14ac:dyDescent="0.25">
      <c r="A49" s="120" t="s">
        <v>305</v>
      </c>
      <c r="B49" s="120"/>
      <c r="C49" s="121">
        <f>C16/C21</f>
        <v>0.26293103448275862</v>
      </c>
      <c r="D49" t="s">
        <v>306</v>
      </c>
    </row>
    <row r="50" spans="1:5" x14ac:dyDescent="0.25">
      <c r="A50" s="120" t="s">
        <v>361</v>
      </c>
      <c r="B50" s="120"/>
      <c r="C50" s="120"/>
      <c r="D50" s="120"/>
      <c r="E50" s="120" t="b">
        <f>IF(C10&gt;E19, TRUE, FALSE)</f>
        <v>0</v>
      </c>
    </row>
  </sheetData>
  <sheetProtection algorithmName="SHA-512" hashValue="t4wi2HdSGZybVF/n7IYI/2IWIqLFZDqfFQoTEUc/EhujzS9fxE2A9X/GUIVINGLVU775Bq2bdCEYicda8h/gfg==" saltValue="Npkve+Or3kcEwD9cvCvW9Q==" spinCount="100000" sheet="1" selectLockedCells="1" selectUnlockedCells="1"/>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F2C2CE-753F-40BF-A2F7-F4F5E6F25549}">
  <sheetPr codeName="Sheet8"/>
  <dimension ref="A1:Y63"/>
  <sheetViews>
    <sheetView topLeftCell="A5" workbookViewId="0">
      <selection activeCell="T53" sqref="T53"/>
    </sheetView>
  </sheetViews>
  <sheetFormatPr defaultColWidth="9.140625" defaultRowHeight="15" x14ac:dyDescent="0.25"/>
  <cols>
    <col min="1" max="1" width="14.42578125" customWidth="1"/>
    <col min="2" max="2" width="12.7109375" customWidth="1"/>
    <col min="3" max="3" width="20" customWidth="1"/>
    <col min="4" max="4" width="51.85546875" customWidth="1"/>
    <col min="5" max="5" width="13" customWidth="1"/>
    <col min="6" max="7" width="20" customWidth="1"/>
    <col min="8" max="8" width="20.140625" customWidth="1"/>
    <col min="9" max="11" width="20" customWidth="1"/>
    <col min="13" max="13" width="1.85546875" customWidth="1"/>
    <col min="14" max="15" width="12.7109375" customWidth="1"/>
    <col min="16" max="16" width="20" customWidth="1"/>
    <col min="17" max="17" width="51.85546875" customWidth="1"/>
    <col min="18" max="18" width="13" customWidth="1"/>
    <col min="19" max="24" width="20" customWidth="1"/>
  </cols>
  <sheetData>
    <row r="1" spans="1:20" s="2" customFormat="1" ht="2.25" customHeight="1" x14ac:dyDescent="0.25"/>
    <row r="2" spans="1:20" s="1" customFormat="1" x14ac:dyDescent="0.25">
      <c r="A2" s="1" t="s">
        <v>488</v>
      </c>
      <c r="N2" s="1" t="s">
        <v>489</v>
      </c>
    </row>
    <row r="3" spans="1:20" s="3" customFormat="1" ht="7.5" customHeight="1" x14ac:dyDescent="0.25">
      <c r="M3" s="1"/>
    </row>
    <row r="4" spans="1:20" s="16" customFormat="1" x14ac:dyDescent="0.25">
      <c r="A4" s="16" t="s">
        <v>39</v>
      </c>
      <c r="C4" s="17">
        <f>'MPPT RS'!F9</f>
        <v>-10</v>
      </c>
      <c r="D4" s="16" t="s">
        <v>15</v>
      </c>
      <c r="E4" s="159">
        <f>'Blue- &amp; SmartSolar'!E11</f>
        <v>-10</v>
      </c>
      <c r="M4" s="1"/>
      <c r="N4" s="16" t="s">
        <v>39</v>
      </c>
      <c r="P4" s="17">
        <f>'MPPT RS'!F9</f>
        <v>-10</v>
      </c>
      <c r="Q4" s="16" t="s">
        <v>15</v>
      </c>
      <c r="R4" s="159">
        <f>'Blue- &amp; SmartSolar'!R11</f>
        <v>0</v>
      </c>
    </row>
    <row r="5" spans="1:20" s="16" customFormat="1" x14ac:dyDescent="0.25">
      <c r="C5" s="17">
        <f>'MPPT RS'!H9</f>
        <v>70</v>
      </c>
      <c r="D5" s="16" t="s">
        <v>16</v>
      </c>
      <c r="E5" s="159">
        <f>'Blue- &amp; SmartSolar'!H11</f>
        <v>70</v>
      </c>
      <c r="M5" s="1"/>
      <c r="P5" s="17">
        <f>'MPPT RS'!H9</f>
        <v>70</v>
      </c>
      <c r="Q5" s="16" t="s">
        <v>16</v>
      </c>
      <c r="R5" s="159">
        <f>'Blue- &amp; SmartSolar'!U11</f>
        <v>0</v>
      </c>
    </row>
    <row r="6" spans="1:20" s="3" customFormat="1" ht="7.5" customHeight="1" x14ac:dyDescent="0.25">
      <c r="C6" s="49"/>
      <c r="M6" s="1"/>
      <c r="P6" s="49"/>
    </row>
    <row r="7" spans="1:20" s="16" customFormat="1" x14ac:dyDescent="0.25">
      <c r="A7" s="16" t="s">
        <v>76</v>
      </c>
      <c r="C7" s="18">
        <f>IF('MPPT RS'!D13=1,0.001,INDEX(Modules!B3:J34,'MPPT RS'!D13,6)*'MPPT RS'!D15)</f>
        <v>366.56</v>
      </c>
      <c r="D7" s="16" t="s">
        <v>56</v>
      </c>
      <c r="E7" s="17"/>
      <c r="F7" s="27"/>
      <c r="G7" s="161"/>
      <c r="M7" s="1"/>
      <c r="N7" s="16" t="s">
        <v>76</v>
      </c>
      <c r="P7" s="18">
        <f>IF('MPPT RS'!D30=1,0.001,INDEX(Modules!B3:J34,'MPPT RS'!D30,6)*'MPPT RS'!D32)</f>
        <v>366.56</v>
      </c>
      <c r="Q7" s="16" t="s">
        <v>56</v>
      </c>
      <c r="R7" s="17"/>
      <c r="S7" s="27"/>
      <c r="T7" s="161"/>
    </row>
    <row r="8" spans="1:20" s="16" customFormat="1" x14ac:dyDescent="0.25">
      <c r="C8" s="18">
        <f>IF('MPPT RS'!D13=1,0.001,INDEX(Modules!B3:J34,'MPPT RS'!D13,4)*'MPPT RS'!D15)</f>
        <v>299.2</v>
      </c>
      <c r="D8" s="16" t="s">
        <v>57</v>
      </c>
      <c r="M8" s="1"/>
      <c r="P8" s="18">
        <f>IF('MPPT RS'!D30=1,0.001,INDEX(Modules!B3:J34,'MPPT RS'!D30,4)*'MPPT RS'!D32)</f>
        <v>299.2</v>
      </c>
      <c r="Q8" s="16" t="s">
        <v>57</v>
      </c>
    </row>
    <row r="9" spans="1:20" s="16" customFormat="1" x14ac:dyDescent="0.25">
      <c r="C9" s="19">
        <f>IF('MPPT RS'!D13=1,0.001,INDEX(Modules!B3:J34,'MPPT RS'!D13,7)*'MPPT RS'!H15)</f>
        <v>12.6</v>
      </c>
      <c r="D9" s="16" t="s">
        <v>33</v>
      </c>
      <c r="M9" s="1"/>
      <c r="P9" s="19">
        <f>IF('MPPT RS'!D30=1,0.001,INDEX(Modules!B3:J34,'MPPT RS'!D30,7)*'MPPT RS'!H32)</f>
        <v>6.3</v>
      </c>
      <c r="Q9" s="16" t="s">
        <v>33</v>
      </c>
    </row>
    <row r="10" spans="1:20" s="16" customFormat="1" x14ac:dyDescent="0.25">
      <c r="C10" s="19">
        <f>IF('MPPT RS'!D13=1,0.001,INDEX(Modules!B3:J34,'MPPT RS'!D13,5)*'MPPT RS'!H15)</f>
        <v>11.5</v>
      </c>
      <c r="D10" s="16" t="s">
        <v>34</v>
      </c>
      <c r="M10" s="1"/>
      <c r="P10" s="19">
        <f>IF('MPPT RS'!D30=1,0.001,INDEX(Modules!B3:J34,'MPPT RS'!D30,5)*'MPPT RS'!H32)</f>
        <v>5.75</v>
      </c>
      <c r="Q10" s="16" t="s">
        <v>34</v>
      </c>
    </row>
    <row r="11" spans="1:20" s="16" customFormat="1" x14ac:dyDescent="0.25">
      <c r="C11" s="164">
        <f>$C$10*$C$8/E20</f>
        <v>71.683333333333323</v>
      </c>
      <c r="D11" s="165" t="s">
        <v>32</v>
      </c>
      <c r="M11" s="1"/>
      <c r="P11" s="164">
        <f>$P$10*$P$8/R20</f>
        <v>35.841666666666661</v>
      </c>
      <c r="Q11" s="165" t="s">
        <v>32</v>
      </c>
    </row>
    <row r="12" spans="1:20" s="16" customFormat="1" x14ac:dyDescent="0.25">
      <c r="C12" s="20">
        <f>INDEX(Modules!B3:J34,'MPPT RS'!D13,8)</f>
        <v>-0.35</v>
      </c>
      <c r="D12" s="16" t="s">
        <v>58</v>
      </c>
      <c r="M12" s="1"/>
      <c r="P12" s="20">
        <f>INDEX(Modules!B3:J34,'MPPT RS'!D30,8)</f>
        <v>-0.35</v>
      </c>
      <c r="Q12" s="16" t="s">
        <v>58</v>
      </c>
    </row>
    <row r="13" spans="1:20" s="16" customFormat="1" x14ac:dyDescent="0.25">
      <c r="C13" s="21">
        <f>(C7/100)*C12</f>
        <v>-1.2829599999999999</v>
      </c>
      <c r="D13" s="16" t="s">
        <v>59</v>
      </c>
      <c r="M13" s="1"/>
      <c r="P13" s="21">
        <f>(P7/100)*P12</f>
        <v>-1.2829599999999999</v>
      </c>
      <c r="Q13" s="16" t="s">
        <v>59</v>
      </c>
    </row>
    <row r="14" spans="1:20" s="16" customFormat="1" x14ac:dyDescent="0.25">
      <c r="C14" s="20">
        <f>INDEX(Modules!B3:J34,'MPPT RS'!D13,9)</f>
        <v>0.04</v>
      </c>
      <c r="D14" s="16" t="s">
        <v>21</v>
      </c>
      <c r="M14" s="1"/>
      <c r="P14" s="20">
        <f>INDEX(Modules!B3:J34,'MPPT RS'!D30,9)</f>
        <v>0.04</v>
      </c>
      <c r="Q14" s="16" t="s">
        <v>21</v>
      </c>
    </row>
    <row r="15" spans="1:20" s="16" customFormat="1" x14ac:dyDescent="0.25">
      <c r="C15" s="22">
        <f>C9*(C14/100)</f>
        <v>5.0400000000000002E-3</v>
      </c>
      <c r="D15" s="16" t="s">
        <v>22</v>
      </c>
      <c r="M15" s="1"/>
      <c r="P15" s="22">
        <f>P9*(P14/100)</f>
        <v>2.5200000000000001E-3</v>
      </c>
      <c r="Q15" s="16" t="s">
        <v>22</v>
      </c>
    </row>
    <row r="16" spans="1:20" s="16" customFormat="1" x14ac:dyDescent="0.25">
      <c r="C16" s="119">
        <f>IF('MPPT RS'!D13=1,0,'MPPT RS'!D15*'MPPT RS'!H15*INDEX(Modules!B3:J34,'MPPT RS'!D13,3))</f>
        <v>3440</v>
      </c>
      <c r="D16" s="16" t="s">
        <v>304</v>
      </c>
      <c r="M16" s="1"/>
      <c r="P16" s="119">
        <f>IF('MPPT RS'!D30=1,0,'MPPT RS'!D32*'MPPT RS'!H32*INDEX(Modules!B3:J34,'MPPT RS'!D30,3))</f>
        <v>1720</v>
      </c>
      <c r="Q16" s="16" t="s">
        <v>304</v>
      </c>
    </row>
    <row r="17" spans="1:24" s="3" customFormat="1" ht="7.5" customHeight="1" x14ac:dyDescent="0.25">
      <c r="M17" s="1"/>
    </row>
    <row r="18" spans="1:24" s="16" customFormat="1" x14ac:dyDescent="0.25">
      <c r="A18" s="16" t="s">
        <v>44</v>
      </c>
      <c r="C18" s="18">
        <f>'MPPT RS'!H6*8</f>
        <v>432</v>
      </c>
      <c r="D18" s="16" t="s">
        <v>60</v>
      </c>
      <c r="E18" s="23">
        <f>INDEX(Regulator!B20:T20,'MPPT RS'!D4,15)</f>
        <v>100</v>
      </c>
      <c r="F18" s="16" t="s">
        <v>20</v>
      </c>
      <c r="H18" s="204">
        <f>INDEX(Regulator!B20:U20,'MPPT RS'!D4,20)</f>
        <v>70</v>
      </c>
      <c r="I18" s="16" t="s">
        <v>536</v>
      </c>
      <c r="M18" s="1"/>
      <c r="N18" s="16" t="s">
        <v>44</v>
      </c>
      <c r="P18" s="18">
        <f>'MPPT RS'!H6*8</f>
        <v>432</v>
      </c>
      <c r="Q18" s="16" t="s">
        <v>60</v>
      </c>
      <c r="R18" s="23">
        <f>INDEX(Regulator!B20:T20,'MPPT RS'!D4,15)</f>
        <v>100</v>
      </c>
      <c r="S18" s="16" t="s">
        <v>20</v>
      </c>
      <c r="U18" s="205">
        <f>INDEX(Regulator!B20:U20,'MPPT RS'!D4,20)</f>
        <v>70</v>
      </c>
      <c r="V18" s="16" t="s">
        <v>536</v>
      </c>
    </row>
    <row r="19" spans="1:24" s="16" customFormat="1" x14ac:dyDescent="0.25">
      <c r="C19" s="18">
        <f>INDEX(Regulator!B20:T20,'MPPT RS'!D4,8)</f>
        <v>120</v>
      </c>
      <c r="D19" s="16" t="s">
        <v>61</v>
      </c>
      <c r="E19" s="23">
        <f>INDEX(Regulator!B20:T20,'MPPT RS'!D4,14)</f>
        <v>18</v>
      </c>
      <c r="F19" s="16" t="s">
        <v>310</v>
      </c>
      <c r="H19" s="25"/>
      <c r="M19" s="1"/>
      <c r="P19" s="18">
        <f>INDEX(Regulator!B20:T20,'MPPT RS'!D4,8)</f>
        <v>120</v>
      </c>
      <c r="Q19" s="16" t="s">
        <v>61</v>
      </c>
      <c r="R19" s="23">
        <f>INDEX(Regulator!B20:T20,'MPPT RS'!D4,14)</f>
        <v>18</v>
      </c>
      <c r="S19" s="16" t="s">
        <v>310</v>
      </c>
      <c r="U19" s="25"/>
    </row>
    <row r="20" spans="1:24" s="16" customFormat="1" x14ac:dyDescent="0.25">
      <c r="C20" s="18">
        <f>INDEX(Regulator!B20:T20,'MPPT RS'!D4,9)</f>
        <v>80</v>
      </c>
      <c r="D20" s="16" t="s">
        <v>62</v>
      </c>
      <c r="E20" s="24">
        <f>IF(INDEX('Blue- &amp; SmartSolar'!$M$12:$M$15,'Blue- &amp; SmartSolar'!$E$15,1)="N.A.",0,INDEX('Blue- &amp; SmartSolar'!$M$12:$M$15,'Blue- &amp; SmartSolar'!$E$15,1))</f>
        <v>48</v>
      </c>
      <c r="F20" s="16" t="s">
        <v>17</v>
      </c>
      <c r="G20" s="25">
        <f>IF(E20=12,16,IF(E20=24,17,IF(E20=36,18,19)))</f>
        <v>19</v>
      </c>
      <c r="M20" s="1"/>
      <c r="P20" s="18">
        <f>INDEX(Regulator!B20:T20,'MPPT RS'!D4,9)</f>
        <v>80</v>
      </c>
      <c r="Q20" s="16" t="s">
        <v>62</v>
      </c>
      <c r="R20" s="24">
        <f>IF(INDEX('Blue- &amp; SmartSolar'!$M$12:$M$15,'Blue- &amp; SmartSolar'!$E$15,1)="N.A.",0,INDEX('Blue- &amp; SmartSolar'!$M$12:$M$15,'Blue- &amp; SmartSolar'!$E$15,1))</f>
        <v>48</v>
      </c>
      <c r="S20" s="16" t="s">
        <v>17</v>
      </c>
      <c r="T20" s="25">
        <f>IF(R20=12,16,IF(R20=24,17,IF(R20=36,18,19)))</f>
        <v>19</v>
      </c>
    </row>
    <row r="21" spans="1:24" s="16" customFormat="1" x14ac:dyDescent="0.25">
      <c r="C21" s="119">
        <v>4000</v>
      </c>
      <c r="D21" s="16" t="s">
        <v>307</v>
      </c>
      <c r="E21" s="16">
        <f>INDEX(Regulator!B2:T17,'Blue- &amp; SmartSolar'!$D$13,G20)</f>
        <v>0.99</v>
      </c>
      <c r="F21" s="16" t="s">
        <v>29</v>
      </c>
      <c r="M21" s="1"/>
      <c r="P21" s="119">
        <v>4000</v>
      </c>
      <c r="Q21" s="16" t="s">
        <v>307</v>
      </c>
      <c r="R21" s="16">
        <f>INDEX(Regulator!B20:T20,'MPPT RS'!D4,G20)</f>
        <v>0.96</v>
      </c>
      <c r="S21" s="16" t="s">
        <v>29</v>
      </c>
    </row>
    <row r="22" spans="1:24" s="72" customFormat="1" ht="7.5" customHeight="1" x14ac:dyDescent="0.25">
      <c r="C22" s="73"/>
      <c r="M22" s="1"/>
      <c r="P22" s="73"/>
    </row>
    <row r="23" spans="1:24" s="16" customFormat="1" x14ac:dyDescent="0.25">
      <c r="A23" s="16" t="s">
        <v>199</v>
      </c>
      <c r="C23" s="76">
        <v>1.78E-2</v>
      </c>
      <c r="D23" s="16" t="s">
        <v>201</v>
      </c>
      <c r="M23" s="1"/>
      <c r="N23" s="16" t="s">
        <v>199</v>
      </c>
      <c r="P23" s="76">
        <v>1.78E-2</v>
      </c>
      <c r="Q23" s="16" t="s">
        <v>201</v>
      </c>
    </row>
    <row r="24" spans="1:24" s="16" customFormat="1" x14ac:dyDescent="0.25">
      <c r="C24" s="77">
        <f>(('MPPT RS'!H17+'MPPT RS'!H17)*P23)/'MPPT RS'!H18</f>
        <v>5.9333333333333328E-2</v>
      </c>
      <c r="D24" s="16" t="s">
        <v>204</v>
      </c>
      <c r="M24" s="1"/>
      <c r="P24" s="77">
        <f>(('MPPT RS'!H34+'MPPT RS'!H34)*P23)/'MPPT RS'!H35</f>
        <v>5.9333333333333328E-2</v>
      </c>
      <c r="Q24" s="16" t="s">
        <v>204</v>
      </c>
    </row>
    <row r="25" spans="1:24" s="3" customFormat="1" ht="7.5" customHeight="1" x14ac:dyDescent="0.25">
      <c r="A25" s="72"/>
      <c r="B25" s="72"/>
      <c r="C25" s="4"/>
      <c r="M25" s="1"/>
      <c r="N25" s="72"/>
      <c r="O25" s="72"/>
      <c r="P25" s="4"/>
    </row>
    <row r="26" spans="1:24" s="2" customFormat="1" ht="2.25" customHeight="1" x14ac:dyDescent="0.25"/>
    <row r="27" spans="1:24" s="1" customFormat="1" ht="15" customHeight="1" x14ac:dyDescent="0.25">
      <c r="A27" s="1" t="s">
        <v>486</v>
      </c>
      <c r="N27" s="1" t="s">
        <v>490</v>
      </c>
    </row>
    <row r="28" spans="1:24" s="3" customFormat="1" ht="7.5" customHeight="1" x14ac:dyDescent="0.25">
      <c r="M28" s="1"/>
    </row>
    <row r="29" spans="1:24" s="27" customFormat="1" x14ac:dyDescent="0.25">
      <c r="A29" s="27" t="s">
        <v>14</v>
      </c>
      <c r="C29" s="27" t="s">
        <v>63</v>
      </c>
      <c r="D29" s="27" t="s">
        <v>68</v>
      </c>
      <c r="E29" s="27" t="s">
        <v>69</v>
      </c>
      <c r="F29" s="27" t="s">
        <v>70</v>
      </c>
      <c r="G29" s="78" t="s">
        <v>71</v>
      </c>
      <c r="H29" s="27" t="s">
        <v>202</v>
      </c>
      <c r="I29" s="27" t="s">
        <v>72</v>
      </c>
      <c r="J29" s="78" t="s">
        <v>73</v>
      </c>
      <c r="K29" s="27" t="s">
        <v>203</v>
      </c>
      <c r="M29" s="190"/>
      <c r="N29" s="27" t="s">
        <v>14</v>
      </c>
      <c r="P29" s="27" t="s">
        <v>63</v>
      </c>
      <c r="Q29" s="27" t="s">
        <v>68</v>
      </c>
      <c r="R29" s="27" t="s">
        <v>69</v>
      </c>
      <c r="S29" s="27" t="s">
        <v>70</v>
      </c>
      <c r="T29" s="78" t="s">
        <v>71</v>
      </c>
      <c r="U29" s="27" t="s">
        <v>202</v>
      </c>
      <c r="V29" s="27" t="s">
        <v>72</v>
      </c>
      <c r="W29" s="78" t="s">
        <v>73</v>
      </c>
      <c r="X29" s="27" t="s">
        <v>203</v>
      </c>
    </row>
    <row r="30" spans="1:24" s="27" customFormat="1" x14ac:dyDescent="0.25">
      <c r="A30" s="160">
        <f>IF('MPPT RS'!$B$9=1,B30, ((B30)*9/5)+32)</f>
        <v>-10</v>
      </c>
      <c r="B30" s="160">
        <f>C4</f>
        <v>-10</v>
      </c>
      <c r="C30" s="29">
        <f>$C$18</f>
        <v>432</v>
      </c>
      <c r="D30" s="29">
        <f>$C$19</f>
        <v>120</v>
      </c>
      <c r="E30" s="29">
        <f>$C$20</f>
        <v>80</v>
      </c>
      <c r="F30" s="29">
        <f>$C$7+($C$13*-(25-B30))</f>
        <v>411.46359999999999</v>
      </c>
      <c r="G30" s="79">
        <f>$C$8+($C$13*-(25-B30))</f>
        <v>344.10359999999997</v>
      </c>
      <c r="H30" s="30">
        <f>($C$8+($C$13*-(25-B30))-($C$24*D40))</f>
        <v>343.43173306666665</v>
      </c>
      <c r="J30" s="78"/>
      <c r="M30" s="190"/>
      <c r="N30" s="160">
        <f>IF('MPPT RS'!$B$9=1,O30, ((O30)*9/5)+32)</f>
        <v>-10</v>
      </c>
      <c r="O30" s="28">
        <f>P4</f>
        <v>-10</v>
      </c>
      <c r="P30" s="29">
        <f>$P$18</f>
        <v>432</v>
      </c>
      <c r="Q30" s="29">
        <f>$P$19</f>
        <v>120</v>
      </c>
      <c r="R30" s="29">
        <f>$P$20</f>
        <v>80</v>
      </c>
      <c r="S30" s="29">
        <f>$P$7+($P$13*-(25-O30))</f>
        <v>411.46359999999999</v>
      </c>
      <c r="T30" s="79">
        <f>$P$8+($P$13*-(25-O30))</f>
        <v>344.10359999999997</v>
      </c>
      <c r="U30" s="30">
        <f>($P$8+($P$13*-(25-O30))-($P$24*Q40))</f>
        <v>343.76766653333328</v>
      </c>
      <c r="W30" s="78"/>
    </row>
    <row r="31" spans="1:24" s="27" customFormat="1" x14ac:dyDescent="0.25">
      <c r="A31" s="160">
        <f>IF('MPPT RS'!$B$9=1,B31, ((B31)*9/5)+32)</f>
        <v>-5</v>
      </c>
      <c r="B31" s="27">
        <f>B30+5</f>
        <v>-5</v>
      </c>
      <c r="C31" s="29">
        <f t="shared" ref="C31:C37" si="0">$C$18</f>
        <v>432</v>
      </c>
      <c r="D31" s="29">
        <f t="shared" ref="D31:D37" si="1">$C$19</f>
        <v>120</v>
      </c>
      <c r="E31" s="29">
        <f t="shared" ref="E31:E37" si="2">$C$20</f>
        <v>80</v>
      </c>
      <c r="F31" s="29">
        <f>$C$7+($C$13*-(25-B31))</f>
        <v>405.04880000000003</v>
      </c>
      <c r="G31" s="79">
        <f>$C$8+($C$13*-(25-B31))</f>
        <v>337.68880000000001</v>
      </c>
      <c r="H31" s="30">
        <f>($C$8+($C$13*-(25-B31))-($C$24*D41))</f>
        <v>337.01543786666667</v>
      </c>
      <c r="J31" s="78"/>
      <c r="M31" s="190"/>
      <c r="N31" s="160">
        <f>IF('MPPT RS'!$B$9=1,O31, ((O31)*9/5)+32)</f>
        <v>-5</v>
      </c>
      <c r="O31" s="28">
        <f>O30+5</f>
        <v>-5</v>
      </c>
      <c r="P31" s="29">
        <f t="shared" ref="P31:P37" si="3">$P$18</f>
        <v>432</v>
      </c>
      <c r="Q31" s="29">
        <f t="shared" ref="Q31:Q37" si="4">$P$19</f>
        <v>120</v>
      </c>
      <c r="R31" s="29">
        <f t="shared" ref="R31:R37" si="5">$P$20</f>
        <v>80</v>
      </c>
      <c r="S31" s="29">
        <f t="shared" ref="S31:S32" si="6">$P$7+($P$13*-(25-O31))</f>
        <v>405.04880000000003</v>
      </c>
      <c r="T31" s="79">
        <f t="shared" ref="T31:T32" si="7">$P$8+($P$13*-(25-O31))</f>
        <v>337.68880000000001</v>
      </c>
      <c r="U31" s="30">
        <f t="shared" ref="U31:U33" si="8">($P$8+($P$13*-(25-O31))-($P$24*Q41))</f>
        <v>337.35211893333337</v>
      </c>
      <c r="W31" s="78"/>
    </row>
    <row r="32" spans="1:24" s="27" customFormat="1" x14ac:dyDescent="0.25">
      <c r="A32" s="160">
        <f>IF('MPPT RS'!$B$9=1,B32, ((B32)*9/5)+32)</f>
        <v>0</v>
      </c>
      <c r="B32" s="27">
        <f>B31+5</f>
        <v>0</v>
      </c>
      <c r="C32" s="29">
        <f t="shared" si="0"/>
        <v>432</v>
      </c>
      <c r="D32" s="29">
        <f t="shared" si="1"/>
        <v>120</v>
      </c>
      <c r="E32" s="29">
        <f t="shared" si="2"/>
        <v>80</v>
      </c>
      <c r="F32" s="29">
        <f>$C$7+($C$13*-(25-B32))</f>
        <v>398.63400000000001</v>
      </c>
      <c r="G32" s="79">
        <f>$C$8+($C$13*-(25-B32))</f>
        <v>331.274</v>
      </c>
      <c r="H32" s="30">
        <f>($C$8+($C$13*-(25-B32))-($C$24*D42))</f>
        <v>330.59914266666669</v>
      </c>
      <c r="J32" s="78"/>
      <c r="M32" s="190"/>
      <c r="N32" s="160">
        <f>IF('MPPT RS'!$B$9=1,O32, ((O32)*9/5)+32)</f>
        <v>0</v>
      </c>
      <c r="O32" s="28">
        <f>O31+5</f>
        <v>0</v>
      </c>
      <c r="P32" s="29">
        <f t="shared" si="3"/>
        <v>432</v>
      </c>
      <c r="Q32" s="29">
        <f t="shared" si="4"/>
        <v>120</v>
      </c>
      <c r="R32" s="29">
        <f t="shared" si="5"/>
        <v>80</v>
      </c>
      <c r="S32" s="29">
        <f t="shared" si="6"/>
        <v>398.63400000000001</v>
      </c>
      <c r="T32" s="79">
        <f t="shared" si="7"/>
        <v>331.274</v>
      </c>
      <c r="U32" s="30">
        <f t="shared" si="8"/>
        <v>330.93657133333335</v>
      </c>
      <c r="W32" s="78"/>
    </row>
    <row r="33" spans="1:25" s="27" customFormat="1" x14ac:dyDescent="0.25">
      <c r="A33" s="160">
        <f>IF('MPPT RS'!$B$9=1,B33, ((B33)*9/5)+32)</f>
        <v>5</v>
      </c>
      <c r="B33" s="27">
        <f>B32+5</f>
        <v>5</v>
      </c>
      <c r="C33" s="29">
        <f t="shared" si="0"/>
        <v>432</v>
      </c>
      <c r="D33" s="29">
        <f t="shared" si="1"/>
        <v>120</v>
      </c>
      <c r="E33" s="29">
        <f t="shared" si="2"/>
        <v>80</v>
      </c>
      <c r="F33" s="29">
        <f>$C$7+($C$13*-(25-B33))</f>
        <v>392.2192</v>
      </c>
      <c r="G33" s="79">
        <f>$C$8+($C$13*-(25-B33))</f>
        <v>324.85919999999999</v>
      </c>
      <c r="H33" s="30">
        <f>($C$8+($C$13*-(25-B33))-($C$24*D43))</f>
        <v>324.18284746666666</v>
      </c>
      <c r="J33" s="78"/>
      <c r="M33" s="190"/>
      <c r="N33" s="160">
        <f>IF('MPPT RS'!$B$9=1,O33, ((O33)*9/5)+32)</f>
        <v>5</v>
      </c>
      <c r="O33" s="27">
        <f>O32+5</f>
        <v>5</v>
      </c>
      <c r="P33" s="29">
        <f t="shared" si="3"/>
        <v>432</v>
      </c>
      <c r="Q33" s="29">
        <f t="shared" si="4"/>
        <v>120</v>
      </c>
      <c r="R33" s="29">
        <f t="shared" si="5"/>
        <v>80</v>
      </c>
      <c r="S33" s="29">
        <f>$P$7+($P$13*-(25-O33))</f>
        <v>392.2192</v>
      </c>
      <c r="T33" s="79">
        <f>$P$8+($P$13*-(25-O33))</f>
        <v>324.85919999999999</v>
      </c>
      <c r="U33" s="30">
        <f t="shared" si="8"/>
        <v>324.52102373333332</v>
      </c>
      <c r="W33" s="78"/>
    </row>
    <row r="34" spans="1:25" s="27" customFormat="1" x14ac:dyDescent="0.25">
      <c r="A34" s="160">
        <f>IF('MPPT RS'!$B$9=1,B34, ((B34)*9/5)+32)</f>
        <v>55</v>
      </c>
      <c r="B34" s="27">
        <f>B35-5</f>
        <v>55</v>
      </c>
      <c r="C34" s="29">
        <f t="shared" si="0"/>
        <v>432</v>
      </c>
      <c r="D34" s="29">
        <f t="shared" si="1"/>
        <v>120</v>
      </c>
      <c r="E34" s="29">
        <f t="shared" si="2"/>
        <v>80</v>
      </c>
      <c r="F34" s="30"/>
      <c r="I34" s="29">
        <f>$C$7+($C$13*-(25-B34))</f>
        <v>328.07119999999998</v>
      </c>
      <c r="J34" s="79">
        <f>$C$8+($C$13*-(25-B34))</f>
        <v>260.71119999999996</v>
      </c>
      <c r="K34" s="29">
        <f>$C$8+($C$13*-(25-B34))-($C$24*D44)</f>
        <v>260.01989546666664</v>
      </c>
      <c r="M34" s="190"/>
      <c r="N34" s="160">
        <f>IF('MPPT RS'!$B$9=1,O34, ((O34)*9/5)+32)</f>
        <v>55</v>
      </c>
      <c r="O34" s="27">
        <f>O35-5</f>
        <v>55</v>
      </c>
      <c r="P34" s="29">
        <f t="shared" si="3"/>
        <v>432</v>
      </c>
      <c r="Q34" s="29">
        <f t="shared" si="4"/>
        <v>120</v>
      </c>
      <c r="R34" s="29">
        <f t="shared" si="5"/>
        <v>80</v>
      </c>
      <c r="S34" s="30"/>
      <c r="V34" s="29">
        <f>$P$7+($P$13*-(25-O34))</f>
        <v>328.07119999999998</v>
      </c>
      <c r="W34" s="79">
        <f>$P$8+($P$13*-(25-O34))</f>
        <v>260.71119999999996</v>
      </c>
      <c r="X34" s="29">
        <f>$P$8+($P$13*-(25-O34))-($P$24*Q44)</f>
        <v>260.3655477333333</v>
      </c>
    </row>
    <row r="35" spans="1:25" s="27" customFormat="1" x14ac:dyDescent="0.25">
      <c r="A35" s="160">
        <f>IF('MPPT RS'!$B$9=1,B35, ((B35)*9/5)+32)</f>
        <v>60</v>
      </c>
      <c r="B35" s="27">
        <f>B36-5</f>
        <v>60</v>
      </c>
      <c r="C35" s="29">
        <f t="shared" si="0"/>
        <v>432</v>
      </c>
      <c r="D35" s="29">
        <f t="shared" si="1"/>
        <v>120</v>
      </c>
      <c r="E35" s="29">
        <f t="shared" si="2"/>
        <v>80</v>
      </c>
      <c r="F35" s="30"/>
      <c r="I35" s="29">
        <f>$C$7+($C$13*-(25-B35))</f>
        <v>321.65640000000002</v>
      </c>
      <c r="J35" s="79">
        <f>$C$8+($C$13*-(25-B35))</f>
        <v>254.29640000000001</v>
      </c>
      <c r="K35" s="29">
        <f>$C$8+($C$13*-(25-B35))-($C$24*D45)</f>
        <v>253.60360026666666</v>
      </c>
      <c r="M35" s="190"/>
      <c r="N35" s="160">
        <f>IF('MPPT RS'!$B$9=1,O35, ((O35)*9/5)+32)</f>
        <v>60</v>
      </c>
      <c r="O35" s="27">
        <f>O36-5</f>
        <v>60</v>
      </c>
      <c r="P35" s="29">
        <f t="shared" si="3"/>
        <v>432</v>
      </c>
      <c r="Q35" s="29">
        <f t="shared" si="4"/>
        <v>120</v>
      </c>
      <c r="R35" s="29">
        <f t="shared" si="5"/>
        <v>80</v>
      </c>
      <c r="S35" s="30"/>
      <c r="V35" s="29">
        <f t="shared" ref="V35:V37" si="9">$P$7+($P$13*-(25-O35))</f>
        <v>321.65640000000002</v>
      </c>
      <c r="W35" s="79">
        <f t="shared" ref="W35:W37" si="10">$P$8+($P$13*-(25-O35))</f>
        <v>254.29640000000001</v>
      </c>
      <c r="X35" s="29">
        <f t="shared" ref="X35:X37" si="11">$P$8+($P$13*-(25-O35))-($P$24*Q45)</f>
        <v>253.95000013333333</v>
      </c>
    </row>
    <row r="36" spans="1:25" s="27" customFormat="1" x14ac:dyDescent="0.25">
      <c r="A36" s="160">
        <f>IF('MPPT RS'!$B$9=1,B36, ((B36)*9/5)+32)</f>
        <v>65</v>
      </c>
      <c r="B36" s="27">
        <f>B37-5</f>
        <v>65</v>
      </c>
      <c r="C36" s="29">
        <f t="shared" si="0"/>
        <v>432</v>
      </c>
      <c r="D36" s="29">
        <f t="shared" si="1"/>
        <v>120</v>
      </c>
      <c r="E36" s="29">
        <f t="shared" si="2"/>
        <v>80</v>
      </c>
      <c r="F36" s="30"/>
      <c r="I36" s="29">
        <f>$C$7+($C$13*-(25-B36))</f>
        <v>315.24160000000001</v>
      </c>
      <c r="J36" s="79">
        <f>$C$8+($C$13*-(25-B36))</f>
        <v>247.88159999999999</v>
      </c>
      <c r="K36" s="29">
        <f>$C$8+($C$13*-(25-B36))-($C$24*D46)</f>
        <v>247.18730506666665</v>
      </c>
      <c r="M36" s="190"/>
      <c r="N36" s="160">
        <f>IF('MPPT RS'!$B$9=1,O36, ((O36)*9/5)+32)</f>
        <v>65</v>
      </c>
      <c r="O36" s="27">
        <f>O37-5</f>
        <v>65</v>
      </c>
      <c r="P36" s="29">
        <f t="shared" si="3"/>
        <v>432</v>
      </c>
      <c r="Q36" s="29">
        <f t="shared" si="4"/>
        <v>120</v>
      </c>
      <c r="R36" s="29">
        <f t="shared" si="5"/>
        <v>80</v>
      </c>
      <c r="S36" s="30"/>
      <c r="V36" s="29">
        <f t="shared" si="9"/>
        <v>315.24160000000001</v>
      </c>
      <c r="W36" s="79">
        <f t="shared" si="10"/>
        <v>247.88159999999999</v>
      </c>
      <c r="X36" s="29">
        <f t="shared" si="11"/>
        <v>247.53445253333334</v>
      </c>
    </row>
    <row r="37" spans="1:25" s="27" customFormat="1" x14ac:dyDescent="0.25">
      <c r="A37" s="160">
        <f>IF('MPPT RS'!$B$9=1,B37, ((B37)*9/5)+32)</f>
        <v>70</v>
      </c>
      <c r="B37" s="160">
        <f>C5</f>
        <v>70</v>
      </c>
      <c r="C37" s="29">
        <f t="shared" si="0"/>
        <v>432</v>
      </c>
      <c r="D37" s="29">
        <f t="shared" si="1"/>
        <v>120</v>
      </c>
      <c r="E37" s="29">
        <f t="shared" si="2"/>
        <v>80</v>
      </c>
      <c r="F37" s="30"/>
      <c r="I37" s="29">
        <f>$C$7+($C$13*-(25-B37))</f>
        <v>308.82679999999999</v>
      </c>
      <c r="J37" s="79">
        <f>$C$8+($C$13*-(25-B37))</f>
        <v>241.46679999999998</v>
      </c>
      <c r="K37" s="29">
        <f>$C$8+($C$13*-(25-B37))-($C$24*D47)</f>
        <v>240.77100986666665</v>
      </c>
      <c r="L37" s="28"/>
      <c r="M37" s="191"/>
      <c r="N37" s="160">
        <f>IF('MPPT RS'!$B$9=1,O37, ((O37)*9/5)+32)</f>
        <v>70</v>
      </c>
      <c r="O37" s="160">
        <f>P5</f>
        <v>70</v>
      </c>
      <c r="P37" s="29">
        <f t="shared" si="3"/>
        <v>432</v>
      </c>
      <c r="Q37" s="29">
        <f t="shared" si="4"/>
        <v>120</v>
      </c>
      <c r="R37" s="29">
        <f t="shared" si="5"/>
        <v>80</v>
      </c>
      <c r="S37" s="30"/>
      <c r="V37" s="29">
        <f t="shared" si="9"/>
        <v>308.82679999999999</v>
      </c>
      <c r="W37" s="79">
        <f t="shared" si="10"/>
        <v>241.46679999999998</v>
      </c>
      <c r="X37" s="29">
        <f t="shared" si="11"/>
        <v>241.11890493333331</v>
      </c>
      <c r="Y37" s="28"/>
    </row>
    <row r="38" spans="1:25" s="26" customFormat="1" ht="7.5" customHeight="1" x14ac:dyDescent="0.25">
      <c r="M38" s="190"/>
    </row>
    <row r="39" spans="1:25" s="27" customFormat="1" x14ac:dyDescent="0.25">
      <c r="A39" s="27" t="s">
        <v>14</v>
      </c>
      <c r="C39" s="27" t="s">
        <v>75</v>
      </c>
      <c r="D39" s="27" t="s">
        <v>74</v>
      </c>
      <c r="E39" s="27" t="s">
        <v>19</v>
      </c>
      <c r="F39" s="27" t="s">
        <v>80</v>
      </c>
      <c r="G39" s="27" t="s">
        <v>81</v>
      </c>
      <c r="M39" s="190"/>
      <c r="N39" s="27" t="s">
        <v>14</v>
      </c>
      <c r="P39" s="27" t="s">
        <v>75</v>
      </c>
      <c r="Q39" s="27" t="s">
        <v>74</v>
      </c>
      <c r="R39" s="27" t="s">
        <v>19</v>
      </c>
      <c r="S39" s="27" t="s">
        <v>80</v>
      </c>
      <c r="T39" s="27" t="s">
        <v>81</v>
      </c>
    </row>
    <row r="40" spans="1:25" s="27" customFormat="1" x14ac:dyDescent="0.25">
      <c r="A40" s="160">
        <f>IF('MPPT RS'!$B$9=1,B40, ((B40)*9/5)+32)</f>
        <v>-10</v>
      </c>
      <c r="B40" s="28">
        <f>C4</f>
        <v>-10</v>
      </c>
      <c r="C40" s="31">
        <f>$E$18</f>
        <v>100</v>
      </c>
      <c r="D40" s="32">
        <f>$C$10+($C$15*-(25-B40))</f>
        <v>11.323600000000001</v>
      </c>
      <c r="E40" s="33">
        <f>$E$20</f>
        <v>48</v>
      </c>
      <c r="F40" s="32">
        <f>IF((((D40*G30)/E40)*$E$21)&gt;$H$18,$H$18,(((D40*G30)/E40)*$E$21))</f>
        <v>70</v>
      </c>
      <c r="M40" s="190"/>
      <c r="N40" s="160">
        <f>IF('MPPT RS'!$B$9=1,O40, ((O40)*9/5)+32)</f>
        <v>-10</v>
      </c>
      <c r="O40" s="28">
        <f>P4</f>
        <v>-10</v>
      </c>
      <c r="P40" s="31">
        <f>$R$18</f>
        <v>100</v>
      </c>
      <c r="Q40" s="32">
        <f>$P$10+($P$15*-(25-O40))</f>
        <v>5.6618000000000004</v>
      </c>
      <c r="R40" s="33">
        <f>$R$20</f>
        <v>48</v>
      </c>
      <c r="S40" s="32">
        <f>IF((((Q40*T30)/R40)*$R$21)&gt;$U$18,$U$18,(((Q40*T30)/R40)*$R$21))</f>
        <v>38.964915249599997</v>
      </c>
    </row>
    <row r="41" spans="1:25" s="27" customFormat="1" x14ac:dyDescent="0.25">
      <c r="A41" s="160">
        <f>IF('MPPT RS'!$B$9=1,B41, ((B41)*9/5)+32)</f>
        <v>-5</v>
      </c>
      <c r="B41" s="27">
        <f>B40+5</f>
        <v>-5</v>
      </c>
      <c r="C41" s="31">
        <f t="shared" ref="C41:C47" si="12">$E$18</f>
        <v>100</v>
      </c>
      <c r="D41" s="32">
        <f t="shared" ref="D41:D47" si="13">$C$10+($C$15*-(25-B41))</f>
        <v>11.348800000000001</v>
      </c>
      <c r="E41" s="33">
        <f t="shared" ref="E41:E47" si="14">$E$20</f>
        <v>48</v>
      </c>
      <c r="F41" s="32">
        <f t="shared" ref="F41:F43" si="15">IF((((D41*G31)/E41)*$E$21)&gt;$H$18,$H$18,(((D41*G31)/E41)*$E$21))</f>
        <v>70</v>
      </c>
      <c r="M41" s="190"/>
      <c r="N41" s="160">
        <f>IF('MPPT RS'!$B$9=1,O41, ((O41)*9/5)+32)</f>
        <v>-5</v>
      </c>
      <c r="O41" s="27">
        <f>O40+5</f>
        <v>-5</v>
      </c>
      <c r="P41" s="31">
        <f t="shared" ref="P41:P47" si="16">$R$18</f>
        <v>100</v>
      </c>
      <c r="Q41" s="32">
        <f t="shared" ref="Q41:Q47" si="17">$P$10+($P$15*-(25-O41))</f>
        <v>5.6744000000000003</v>
      </c>
      <c r="R41" s="33">
        <f t="shared" ref="R41:R47" si="18">$R$20</f>
        <v>48</v>
      </c>
      <c r="S41" s="32">
        <f t="shared" ref="S41:S43" si="19">IF((((Q41*T31)/R41)*$R$21)&gt;$U$18,$U$18,(((Q41*T31)/R41)*$R$21))</f>
        <v>38.323626534400006</v>
      </c>
    </row>
    <row r="42" spans="1:25" s="27" customFormat="1" x14ac:dyDescent="0.25">
      <c r="A42" s="160">
        <f>IF('MPPT RS'!$B$9=1,B42, ((B42)*9/5)+32)</f>
        <v>0</v>
      </c>
      <c r="B42" s="27">
        <f>B41+5</f>
        <v>0</v>
      </c>
      <c r="C42" s="31">
        <f t="shared" si="12"/>
        <v>100</v>
      </c>
      <c r="D42" s="32">
        <f t="shared" si="13"/>
        <v>11.374000000000001</v>
      </c>
      <c r="E42" s="33">
        <f t="shared" si="14"/>
        <v>48</v>
      </c>
      <c r="F42" s="32">
        <f t="shared" si="15"/>
        <v>70</v>
      </c>
      <c r="M42" s="190"/>
      <c r="N42" s="160">
        <f>IF('MPPT RS'!$B$9=1,O42, ((O42)*9/5)+32)</f>
        <v>0</v>
      </c>
      <c r="O42" s="27">
        <f>O41+5</f>
        <v>0</v>
      </c>
      <c r="P42" s="31">
        <f t="shared" si="16"/>
        <v>100</v>
      </c>
      <c r="Q42" s="32">
        <f t="shared" si="17"/>
        <v>5.6870000000000003</v>
      </c>
      <c r="R42" s="33">
        <f t="shared" si="18"/>
        <v>48</v>
      </c>
      <c r="S42" s="32">
        <f t="shared" si="19"/>
        <v>37.679104760000001</v>
      </c>
    </row>
    <row r="43" spans="1:25" s="27" customFormat="1" x14ac:dyDescent="0.25">
      <c r="A43" s="160">
        <f>IF('MPPT RS'!$B$9=1,B43, ((B43)*9/5)+32)</f>
        <v>5</v>
      </c>
      <c r="B43" s="27">
        <f>B42+5</f>
        <v>5</v>
      </c>
      <c r="C43" s="31">
        <f t="shared" si="12"/>
        <v>100</v>
      </c>
      <c r="D43" s="32">
        <f t="shared" si="13"/>
        <v>11.3992</v>
      </c>
      <c r="E43" s="33">
        <f t="shared" si="14"/>
        <v>48</v>
      </c>
      <c r="F43" s="32">
        <f t="shared" si="15"/>
        <v>70</v>
      </c>
      <c r="M43" s="190"/>
      <c r="N43" s="160">
        <f>IF('MPPT RS'!$B$9=1,O43, ((O43)*9/5)+32)</f>
        <v>5</v>
      </c>
      <c r="O43" s="27">
        <f>O42+5</f>
        <v>5</v>
      </c>
      <c r="P43" s="31">
        <f t="shared" si="16"/>
        <v>100</v>
      </c>
      <c r="Q43" s="32">
        <f t="shared" si="17"/>
        <v>5.6996000000000002</v>
      </c>
      <c r="R43" s="33">
        <f t="shared" si="18"/>
        <v>48</v>
      </c>
      <c r="S43" s="32">
        <f t="shared" si="19"/>
        <v>37.031349926399997</v>
      </c>
    </row>
    <row r="44" spans="1:25" s="27" customFormat="1" x14ac:dyDescent="0.25">
      <c r="A44" s="160">
        <f>IF('MPPT RS'!$B$9=1,B44, ((B44)*9/5)+32)</f>
        <v>55</v>
      </c>
      <c r="B44" s="27">
        <f>B45-5</f>
        <v>55</v>
      </c>
      <c r="C44" s="31">
        <f t="shared" si="12"/>
        <v>100</v>
      </c>
      <c r="D44" s="32">
        <f t="shared" si="13"/>
        <v>11.651199999999999</v>
      </c>
      <c r="E44" s="33">
        <f t="shared" si="14"/>
        <v>48</v>
      </c>
      <c r="G44" s="32">
        <f>IF(((D44*J34)/E44*$E$21)&gt;$H$18,$H$18,((D44*J34)/E44*$E$21))</f>
        <v>62.650465627199985</v>
      </c>
      <c r="H44" s="32"/>
      <c r="M44" s="190"/>
      <c r="N44" s="160">
        <f>IF('MPPT RS'!$B$9=1,O44, ((O44)*9/5)+32)</f>
        <v>55</v>
      </c>
      <c r="O44" s="27">
        <f>O45-5</f>
        <v>55</v>
      </c>
      <c r="P44" s="31">
        <f t="shared" si="16"/>
        <v>100</v>
      </c>
      <c r="Q44" s="32">
        <f t="shared" si="17"/>
        <v>5.8255999999999997</v>
      </c>
      <c r="R44" s="33">
        <f t="shared" si="18"/>
        <v>48</v>
      </c>
      <c r="T44" s="32">
        <f>IF(((Q44*W34)/R44*$R$21)&gt;$U$18,$U$18,((Q44*W34)/R44*$R$21))</f>
        <v>30.375983334399994</v>
      </c>
      <c r="U44" s="32"/>
    </row>
    <row r="45" spans="1:25" s="27" customFormat="1" x14ac:dyDescent="0.25">
      <c r="A45" s="160">
        <f>IF('MPPT RS'!$B$9=1,B45, ((B45)*9/5)+32)</f>
        <v>60</v>
      </c>
      <c r="B45" s="27">
        <f>B46-5</f>
        <v>60</v>
      </c>
      <c r="C45" s="31">
        <f t="shared" si="12"/>
        <v>100</v>
      </c>
      <c r="D45" s="32">
        <f t="shared" si="13"/>
        <v>11.676399999999999</v>
      </c>
      <c r="E45" s="33">
        <f t="shared" si="14"/>
        <v>48</v>
      </c>
      <c r="G45" s="32">
        <f t="shared" ref="G45:G47" si="20">IF(((D45*J35)/E45*$E$21)&gt;$H$18,$H$18,((D45*J35)/E45*$E$21))</f>
        <v>61.241121252299997</v>
      </c>
      <c r="H45" s="32"/>
      <c r="M45" s="190"/>
      <c r="N45" s="160">
        <f>IF('MPPT RS'!$B$9=1,O45, ((O45)*9/5)+32)</f>
        <v>60</v>
      </c>
      <c r="O45" s="27">
        <f>O46-5</f>
        <v>60</v>
      </c>
      <c r="P45" s="31">
        <f t="shared" si="16"/>
        <v>100</v>
      </c>
      <c r="Q45" s="32">
        <f t="shared" si="17"/>
        <v>5.8381999999999996</v>
      </c>
      <c r="R45" s="33">
        <f t="shared" si="18"/>
        <v>48</v>
      </c>
      <c r="T45" s="32">
        <f t="shared" ref="T45:T46" si="21">IF(((Q45*W35)/R45*$R$21)&gt;$U$18,$U$18,((Q45*W35)/R45*$R$21))</f>
        <v>29.6926648496</v>
      </c>
      <c r="U45" s="32"/>
    </row>
    <row r="46" spans="1:25" s="27" customFormat="1" x14ac:dyDescent="0.25">
      <c r="A46" s="160">
        <f>IF('MPPT RS'!$B$9=1,B46, ((B46)*9/5)+32)</f>
        <v>65</v>
      </c>
      <c r="B46" s="27">
        <f>B47-5</f>
        <v>65</v>
      </c>
      <c r="C46" s="31">
        <f t="shared" si="12"/>
        <v>100</v>
      </c>
      <c r="D46" s="32">
        <f t="shared" si="13"/>
        <v>11.701599999999999</v>
      </c>
      <c r="E46" s="33">
        <f t="shared" si="14"/>
        <v>48</v>
      </c>
      <c r="G46" s="32">
        <f t="shared" si="20"/>
        <v>59.825108692799994</v>
      </c>
      <c r="H46" s="32"/>
      <c r="M46" s="190"/>
      <c r="N46" s="160">
        <f>IF('MPPT RS'!$B$9=1,O46, ((O46)*9/5)+32)</f>
        <v>65</v>
      </c>
      <c r="O46" s="27">
        <f>O47-5</f>
        <v>65</v>
      </c>
      <c r="P46" s="31">
        <f t="shared" si="16"/>
        <v>100</v>
      </c>
      <c r="Q46" s="32">
        <f t="shared" si="17"/>
        <v>5.8507999999999996</v>
      </c>
      <c r="R46" s="33">
        <f t="shared" si="18"/>
        <v>48</v>
      </c>
      <c r="T46" s="32">
        <f t="shared" si="21"/>
        <v>29.006113305599996</v>
      </c>
      <c r="U46" s="32"/>
    </row>
    <row r="47" spans="1:25" s="27" customFormat="1" x14ac:dyDescent="0.25">
      <c r="A47" s="160">
        <f>IF('MPPT RS'!$B$9=1,B47, ((B47)*9/5)+32)</f>
        <v>70</v>
      </c>
      <c r="B47" s="160">
        <f>C5</f>
        <v>70</v>
      </c>
      <c r="C47" s="31">
        <f t="shared" si="12"/>
        <v>100</v>
      </c>
      <c r="D47" s="32">
        <f t="shared" si="13"/>
        <v>11.726800000000001</v>
      </c>
      <c r="E47" s="33">
        <f t="shared" si="14"/>
        <v>48</v>
      </c>
      <c r="G47" s="32">
        <f t="shared" si="20"/>
        <v>58.402427948700002</v>
      </c>
      <c r="H47" s="32"/>
      <c r="M47" s="190"/>
      <c r="N47" s="160">
        <f>IF('MPPT RS'!$B$9=1,O47, ((O47)*9/5)+32)</f>
        <v>70</v>
      </c>
      <c r="O47" s="160">
        <f>P5</f>
        <v>70</v>
      </c>
      <c r="P47" s="31">
        <f t="shared" si="16"/>
        <v>100</v>
      </c>
      <c r="Q47" s="32">
        <f t="shared" si="17"/>
        <v>5.8634000000000004</v>
      </c>
      <c r="R47" s="33">
        <f t="shared" si="18"/>
        <v>48</v>
      </c>
      <c r="T47" s="32">
        <f>IF(((Q47*W37)/R47*$R$21)&gt;$U$18,$U$18,((Q47*W37)/R47*$R$21))</f>
        <v>28.3163287024</v>
      </c>
      <c r="U47" s="32"/>
    </row>
    <row r="48" spans="1:25" s="3" customFormat="1" ht="7.5" customHeight="1" x14ac:dyDescent="0.25">
      <c r="M48" s="1"/>
    </row>
    <row r="49" spans="1:18" x14ac:dyDescent="0.25">
      <c r="A49" s="120" t="s">
        <v>305</v>
      </c>
      <c r="B49" s="120"/>
      <c r="C49" s="121">
        <f>C16/C21</f>
        <v>0.86</v>
      </c>
      <c r="D49" t="s">
        <v>306</v>
      </c>
      <c r="M49" s="1"/>
      <c r="N49" s="120" t="s">
        <v>305</v>
      </c>
      <c r="O49" s="120"/>
      <c r="P49" s="121">
        <f>P16/P21</f>
        <v>0.43</v>
      </c>
      <c r="Q49" t="s">
        <v>306</v>
      </c>
    </row>
    <row r="50" spans="1:18" x14ac:dyDescent="0.25">
      <c r="A50" s="120" t="s">
        <v>361</v>
      </c>
      <c r="B50" s="120"/>
      <c r="C50" s="120"/>
      <c r="D50" s="120"/>
      <c r="E50" s="120" t="b">
        <f>IF(C10&gt;E19, TRUE, FALSE)</f>
        <v>0</v>
      </c>
      <c r="M50" s="1"/>
      <c r="N50" s="120" t="s">
        <v>361</v>
      </c>
      <c r="O50" s="120"/>
      <c r="P50" s="120"/>
      <c r="Q50" s="120"/>
      <c r="R50" s="120" t="b">
        <f>IF(P10&gt;R19, TRUE, FALSE)</f>
        <v>0</v>
      </c>
    </row>
    <row r="53" spans="1:18" x14ac:dyDescent="0.25">
      <c r="A53" s="27" t="s">
        <v>14</v>
      </c>
      <c r="B53" s="27"/>
      <c r="C53" s="27" t="s">
        <v>75</v>
      </c>
      <c r="D53" s="27" t="s">
        <v>491</v>
      </c>
      <c r="E53" s="27" t="s">
        <v>19</v>
      </c>
      <c r="F53" s="27" t="s">
        <v>80</v>
      </c>
      <c r="G53" s="27" t="s">
        <v>81</v>
      </c>
    </row>
    <row r="54" spans="1:18" x14ac:dyDescent="0.25">
      <c r="A54" s="160">
        <f>IF('MPPT RS'!$B$9=1,B40, ((B40)*9/5)+32)</f>
        <v>-10</v>
      </c>
      <c r="B54" s="28">
        <f>C4</f>
        <v>-10</v>
      </c>
      <c r="C54" s="31">
        <f>$E$18</f>
        <v>100</v>
      </c>
      <c r="D54" s="32">
        <f t="shared" ref="D54:D61" si="22">$C$10+($C$15*-(25-B54))+$P$10+($P$15*-(25-O40))</f>
        <v>16.985399999999998</v>
      </c>
      <c r="E54" s="33">
        <f>$E$20</f>
        <v>48</v>
      </c>
      <c r="F54" s="32">
        <f>IF(F40+S40&gt;$E$18,$E$18,F40+S40)</f>
        <v>100</v>
      </c>
      <c r="G54" s="27"/>
    </row>
    <row r="55" spans="1:18" x14ac:dyDescent="0.25">
      <c r="A55" s="160">
        <f>IF('MPPT RS'!$B$9=1,B41, ((B41)*9/5)+32)</f>
        <v>-5</v>
      </c>
      <c r="B55" s="28">
        <f>B54+5</f>
        <v>-5</v>
      </c>
      <c r="C55" s="31">
        <f t="shared" ref="C55:C61" si="23">$E$18</f>
        <v>100</v>
      </c>
      <c r="D55" s="32">
        <f t="shared" si="22"/>
        <v>17.023199999999999</v>
      </c>
      <c r="E55" s="33">
        <f t="shared" ref="E55:E61" si="24">$E$20</f>
        <v>48</v>
      </c>
      <c r="F55" s="32">
        <f t="shared" ref="F55:F57" si="25">IF(F41+S41&gt;$E$18,$E$18,F41+S41)</f>
        <v>100</v>
      </c>
      <c r="G55" s="27"/>
      <c r="I55" s="192"/>
    </row>
    <row r="56" spans="1:18" x14ac:dyDescent="0.25">
      <c r="A56" s="160">
        <f>IF('MPPT RS'!$B$9=1,B42, ((B42)*9/5)+32)</f>
        <v>0</v>
      </c>
      <c r="B56" s="27">
        <f>B55+5</f>
        <v>0</v>
      </c>
      <c r="C56" s="31">
        <f t="shared" si="23"/>
        <v>100</v>
      </c>
      <c r="D56" s="32">
        <f t="shared" si="22"/>
        <v>17.061000000000003</v>
      </c>
      <c r="E56" s="33">
        <f t="shared" si="24"/>
        <v>48</v>
      </c>
      <c r="F56" s="32">
        <f t="shared" si="25"/>
        <v>100</v>
      </c>
      <c r="G56" s="27"/>
    </row>
    <row r="57" spans="1:18" x14ac:dyDescent="0.25">
      <c r="A57" s="160">
        <f>IF('MPPT RS'!$B$9=1,B43, ((B43)*9/5)+32)</f>
        <v>5</v>
      </c>
      <c r="B57" s="27">
        <f>B56+5</f>
        <v>5</v>
      </c>
      <c r="C57" s="31">
        <f t="shared" si="23"/>
        <v>100</v>
      </c>
      <c r="D57" s="32">
        <f t="shared" si="22"/>
        <v>17.098800000000001</v>
      </c>
      <c r="E57" s="33">
        <f t="shared" si="24"/>
        <v>48</v>
      </c>
      <c r="F57" s="32">
        <f t="shared" si="25"/>
        <v>100</v>
      </c>
      <c r="G57" s="27"/>
    </row>
    <row r="58" spans="1:18" x14ac:dyDescent="0.25">
      <c r="A58" s="160">
        <f>IF('MPPT RS'!$B$9=1,B44, ((B44)*9/5)+32)</f>
        <v>55</v>
      </c>
      <c r="B58" s="27">
        <f>B59-5</f>
        <v>-15</v>
      </c>
      <c r="C58" s="31">
        <f t="shared" si="23"/>
        <v>100</v>
      </c>
      <c r="D58" s="32">
        <f t="shared" si="22"/>
        <v>17.124000000000002</v>
      </c>
      <c r="E58" s="33">
        <f t="shared" si="24"/>
        <v>48</v>
      </c>
      <c r="F58" s="27"/>
      <c r="G58" s="32">
        <f>IF(G44+T44&gt;$E$18,$E$18,G44+T44)</f>
        <v>93.026448961599982</v>
      </c>
    </row>
    <row r="59" spans="1:18" x14ac:dyDescent="0.25">
      <c r="A59" s="160">
        <f>IF('MPPT RS'!$B$9=1,B45, ((B45)*9/5)+32)</f>
        <v>60</v>
      </c>
      <c r="B59" s="27">
        <f>B60-5</f>
        <v>-10</v>
      </c>
      <c r="C59" s="31">
        <f t="shared" si="23"/>
        <v>100</v>
      </c>
      <c r="D59" s="32">
        <f t="shared" si="22"/>
        <v>17.161799999999999</v>
      </c>
      <c r="E59" s="33">
        <f t="shared" si="24"/>
        <v>48</v>
      </c>
      <c r="F59" s="27"/>
      <c r="G59" s="32">
        <f t="shared" ref="G59:G61" si="26">IF(G45+T45&gt;$E$18,$E$18,G45+T45)</f>
        <v>90.933786101899997</v>
      </c>
      <c r="I59" s="192"/>
    </row>
    <row r="60" spans="1:18" x14ac:dyDescent="0.25">
      <c r="A60" s="160">
        <f>IF('MPPT RS'!$B$9=1,B46, ((B46)*9/5)+32)</f>
        <v>65</v>
      </c>
      <c r="B60" s="27">
        <f>B61-5</f>
        <v>-5</v>
      </c>
      <c r="C60" s="31">
        <f t="shared" si="23"/>
        <v>100</v>
      </c>
      <c r="D60" s="32">
        <f t="shared" si="22"/>
        <v>17.1996</v>
      </c>
      <c r="E60" s="33">
        <f t="shared" si="24"/>
        <v>48</v>
      </c>
      <c r="F60" s="27"/>
      <c r="G60" s="32">
        <f t="shared" si="26"/>
        <v>88.831221998399997</v>
      </c>
    </row>
    <row r="61" spans="1:18" x14ac:dyDescent="0.25">
      <c r="A61" s="160">
        <f>IF('MPPT RS'!$B$9=1,B47, ((B47)*9/5)+32)</f>
        <v>70</v>
      </c>
      <c r="B61" s="160">
        <f>C22</f>
        <v>0</v>
      </c>
      <c r="C61" s="31">
        <f t="shared" si="23"/>
        <v>100</v>
      </c>
      <c r="D61" s="32">
        <f t="shared" si="22"/>
        <v>17.237400000000001</v>
      </c>
      <c r="E61" s="33">
        <f t="shared" si="24"/>
        <v>48</v>
      </c>
      <c r="F61" s="27"/>
      <c r="G61" s="32">
        <f t="shared" si="26"/>
        <v>86.718756651099994</v>
      </c>
    </row>
    <row r="62" spans="1:18" x14ac:dyDescent="0.25">
      <c r="A62" s="3"/>
      <c r="B62" s="3"/>
      <c r="C62" s="3"/>
      <c r="D62" s="3"/>
      <c r="E62" s="3"/>
      <c r="F62" s="3"/>
      <c r="G62" s="3"/>
    </row>
    <row r="63" spans="1:18" x14ac:dyDescent="0.25">
      <c r="A63" s="120" t="s">
        <v>305</v>
      </c>
      <c r="B63" s="120"/>
      <c r="C63" s="121">
        <f>(C16+P16)/INDEX(Regulator!B20:T20,1,6)</f>
        <v>0.89583333333333337</v>
      </c>
      <c r="D63" t="s">
        <v>306</v>
      </c>
    </row>
  </sheetData>
  <sheetProtection algorithmName="SHA-512" hashValue="GONAwKCsfNE3KbcvXM5qhCtqgwldBhXLXWqYbrn9AkcA5xT1K5gF0dq3ANvHhj0noxr+sasT8afj5dflVjE8Vw==" saltValue="1Hzsq7lgtHEBKqlgGXZtkw==" spinCount="100000" sheet="1" selectLockedCells="1" selectUnlockedCells="1"/>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AH34"/>
  <sheetViews>
    <sheetView workbookViewId="0">
      <selection activeCell="D45" sqref="D45"/>
    </sheetView>
  </sheetViews>
  <sheetFormatPr defaultColWidth="9.140625" defaultRowHeight="15" x14ac:dyDescent="0.25"/>
  <cols>
    <col min="1" max="1" width="9.140625" style="47"/>
    <col min="2" max="16384" width="9.140625" style="38"/>
  </cols>
  <sheetData>
    <row r="1" spans="1:34" s="1" customFormat="1" x14ac:dyDescent="0.25">
      <c r="A1" s="51" t="s">
        <v>35</v>
      </c>
    </row>
    <row r="2" spans="1:34" ht="6" customHeight="1" x14ac:dyDescent="0.25"/>
    <row r="3" spans="1:34" s="72" customFormat="1" ht="15" customHeight="1" x14ac:dyDescent="0.25">
      <c r="A3" s="75" t="s">
        <v>539</v>
      </c>
      <c r="B3" s="74" t="s">
        <v>544</v>
      </c>
    </row>
    <row r="4" spans="1:34" s="72" customFormat="1" ht="15" customHeight="1" x14ac:dyDescent="0.25">
      <c r="A4" s="75" t="s">
        <v>502</v>
      </c>
      <c r="B4" s="74" t="s">
        <v>503</v>
      </c>
    </row>
    <row r="5" spans="1:34" s="72" customFormat="1" ht="15" customHeight="1" x14ac:dyDescent="0.25">
      <c r="A5" s="75" t="s">
        <v>478</v>
      </c>
      <c r="B5" s="74" t="s">
        <v>479</v>
      </c>
    </row>
    <row r="6" spans="1:34" s="72" customFormat="1" ht="15" customHeight="1" x14ac:dyDescent="0.25">
      <c r="A6" s="75" t="s">
        <v>471</v>
      </c>
      <c r="B6" s="74" t="s">
        <v>472</v>
      </c>
    </row>
    <row r="7" spans="1:34" s="72" customFormat="1" ht="15" customHeight="1" x14ac:dyDescent="0.25">
      <c r="A7" s="75" t="s">
        <v>469</v>
      </c>
      <c r="B7" s="74" t="s">
        <v>473</v>
      </c>
    </row>
    <row r="8" spans="1:34" s="72" customFormat="1" ht="15" customHeight="1" x14ac:dyDescent="0.25">
      <c r="A8" s="75" t="s">
        <v>423</v>
      </c>
      <c r="B8" s="74" t="s">
        <v>474</v>
      </c>
    </row>
    <row r="9" spans="1:34" s="72" customFormat="1" ht="15" customHeight="1" x14ac:dyDescent="0.25">
      <c r="A9" s="75" t="s">
        <v>420</v>
      </c>
      <c r="B9" s="74" t="s">
        <v>475</v>
      </c>
    </row>
    <row r="10" spans="1:34" s="72" customFormat="1" ht="15" customHeight="1" x14ac:dyDescent="0.25">
      <c r="A10" s="75" t="s">
        <v>414</v>
      </c>
      <c r="B10" s="74" t="s">
        <v>476</v>
      </c>
    </row>
    <row r="11" spans="1:34" s="72" customFormat="1" ht="15" customHeight="1" x14ac:dyDescent="0.25">
      <c r="A11" s="75" t="s">
        <v>413</v>
      </c>
      <c r="B11" s="74" t="s">
        <v>477</v>
      </c>
    </row>
    <row r="12" spans="1:34" s="72" customFormat="1" ht="15" customHeight="1" x14ac:dyDescent="0.25">
      <c r="A12" s="75" t="s">
        <v>402</v>
      </c>
      <c r="B12" s="74" t="s">
        <v>391</v>
      </c>
    </row>
    <row r="13" spans="1:34" s="72" customFormat="1" ht="15" customHeight="1" x14ac:dyDescent="0.25">
      <c r="A13" s="75" t="s">
        <v>394</v>
      </c>
      <c r="B13" s="74" t="s">
        <v>395</v>
      </c>
    </row>
    <row r="14" spans="1:34" s="72" customFormat="1" ht="15" customHeight="1" x14ac:dyDescent="0.25">
      <c r="A14" s="75" t="s">
        <v>371</v>
      </c>
      <c r="B14" s="74" t="s">
        <v>391</v>
      </c>
    </row>
    <row r="15" spans="1:34" s="3" customFormat="1" ht="15" customHeight="1" x14ac:dyDescent="0.25">
      <c r="A15" s="123">
        <v>2.8</v>
      </c>
      <c r="B15" s="50" t="s">
        <v>370</v>
      </c>
      <c r="C15" s="50"/>
      <c r="D15" s="50"/>
      <c r="E15" s="50"/>
      <c r="F15" s="50"/>
      <c r="G15" s="50"/>
      <c r="H15" s="50"/>
      <c r="I15" s="50"/>
      <c r="J15" s="50"/>
      <c r="K15" s="50"/>
      <c r="L15" s="50"/>
      <c r="M15" s="50"/>
      <c r="N15" s="50"/>
      <c r="O15" s="50"/>
      <c r="P15" s="50"/>
      <c r="Q15" s="50"/>
      <c r="R15" s="50"/>
      <c r="S15" s="50"/>
      <c r="T15" s="50"/>
      <c r="U15" s="50"/>
      <c r="V15" s="50"/>
      <c r="W15" s="50"/>
      <c r="X15" s="50"/>
      <c r="Y15" s="50"/>
      <c r="Z15" s="50"/>
      <c r="AA15" s="50"/>
      <c r="AB15" s="50"/>
      <c r="AC15" s="50"/>
      <c r="AD15" s="50"/>
      <c r="AE15" s="50"/>
      <c r="AF15" s="50"/>
      <c r="AG15" s="50"/>
      <c r="AH15" s="50"/>
    </row>
    <row r="16" spans="1:34" s="3" customFormat="1" ht="15" customHeight="1" x14ac:dyDescent="0.25">
      <c r="A16" s="123">
        <v>2.7</v>
      </c>
      <c r="B16" s="50" t="s">
        <v>362</v>
      </c>
    </row>
    <row r="17" spans="1:2" s="72" customFormat="1" ht="15" customHeight="1" x14ac:dyDescent="0.25">
      <c r="A17" s="114">
        <v>2.6</v>
      </c>
      <c r="B17" s="74" t="s">
        <v>355</v>
      </c>
    </row>
    <row r="18" spans="1:2" s="72" customFormat="1" ht="15" customHeight="1" x14ac:dyDescent="0.25">
      <c r="A18" s="114">
        <v>2.5</v>
      </c>
      <c r="B18" s="74" t="s">
        <v>340</v>
      </c>
    </row>
    <row r="19" spans="1:2" s="72" customFormat="1" ht="15" customHeight="1" x14ac:dyDescent="0.25">
      <c r="A19" s="114">
        <v>2.4</v>
      </c>
      <c r="B19" s="74" t="s">
        <v>314</v>
      </c>
    </row>
    <row r="20" spans="1:2" s="72" customFormat="1" ht="15" customHeight="1" x14ac:dyDescent="0.25">
      <c r="A20" s="114">
        <v>2.2999999999999998</v>
      </c>
      <c r="B20" s="74" t="s">
        <v>313</v>
      </c>
    </row>
    <row r="21" spans="1:2" s="72" customFormat="1" ht="15" customHeight="1" x14ac:dyDescent="0.25">
      <c r="A21" s="114">
        <v>2.2000000000000002</v>
      </c>
      <c r="B21" s="74" t="s">
        <v>296</v>
      </c>
    </row>
    <row r="22" spans="1:2" s="72" customFormat="1" ht="15" customHeight="1" x14ac:dyDescent="0.25">
      <c r="A22" s="75" t="s">
        <v>288</v>
      </c>
      <c r="B22" s="74" t="s">
        <v>290</v>
      </c>
    </row>
    <row r="23" spans="1:2" s="72" customFormat="1" ht="15" customHeight="1" x14ac:dyDescent="0.25">
      <c r="A23" s="75" t="s">
        <v>287</v>
      </c>
      <c r="B23" s="74" t="s">
        <v>286</v>
      </c>
    </row>
    <row r="24" spans="1:2" s="72" customFormat="1" ht="15" customHeight="1" x14ac:dyDescent="0.25">
      <c r="A24" s="75" t="s">
        <v>259</v>
      </c>
      <c r="B24" s="74" t="s">
        <v>269</v>
      </c>
    </row>
    <row r="25" spans="1:2" s="72" customFormat="1" ht="15" customHeight="1" x14ac:dyDescent="0.25">
      <c r="A25" s="75" t="s">
        <v>252</v>
      </c>
      <c r="B25" s="74" t="s">
        <v>253</v>
      </c>
    </row>
    <row r="26" spans="1:2" s="72" customFormat="1" ht="15" customHeight="1" x14ac:dyDescent="0.25">
      <c r="A26" s="52" t="s">
        <v>200</v>
      </c>
      <c r="B26" s="74" t="s">
        <v>229</v>
      </c>
    </row>
    <row r="27" spans="1:2" s="72" customFormat="1" ht="15" customHeight="1" x14ac:dyDescent="0.25">
      <c r="A27" s="75" t="s">
        <v>193</v>
      </c>
      <c r="B27" s="74" t="s">
        <v>196</v>
      </c>
    </row>
    <row r="28" spans="1:2" s="3" customFormat="1" x14ac:dyDescent="0.25">
      <c r="A28" s="75" t="s">
        <v>89</v>
      </c>
      <c r="B28" s="74" t="s">
        <v>195</v>
      </c>
    </row>
    <row r="29" spans="1:2" s="3" customFormat="1" x14ac:dyDescent="0.25">
      <c r="A29" s="52" t="s">
        <v>48</v>
      </c>
      <c r="B29" s="50" t="s">
        <v>194</v>
      </c>
    </row>
    <row r="30" spans="1:2" s="3" customFormat="1" x14ac:dyDescent="0.25">
      <c r="A30" s="52" t="s">
        <v>49</v>
      </c>
      <c r="B30" s="50" t="s">
        <v>47</v>
      </c>
    </row>
    <row r="31" spans="1:2" s="3" customFormat="1" x14ac:dyDescent="0.25">
      <c r="A31" s="52" t="s">
        <v>50</v>
      </c>
      <c r="B31" s="50" t="s">
        <v>46</v>
      </c>
    </row>
    <row r="32" spans="1:2" s="3" customFormat="1" x14ac:dyDescent="0.25">
      <c r="A32" s="52" t="s">
        <v>51</v>
      </c>
      <c r="B32" s="50" t="s">
        <v>289</v>
      </c>
    </row>
    <row r="33" spans="1:2" s="3" customFormat="1" x14ac:dyDescent="0.25">
      <c r="A33" s="53" t="s">
        <v>52</v>
      </c>
      <c r="B33" s="50" t="s">
        <v>36</v>
      </c>
    </row>
    <row r="34" spans="1:2" s="3" customFormat="1" x14ac:dyDescent="0.25">
      <c r="A34" s="123">
        <v>0.1</v>
      </c>
      <c r="B34" s="50" t="s">
        <v>311</v>
      </c>
    </row>
  </sheetData>
  <sheetProtection algorithmName="SHA-512" hashValue="ji2RTpTCuw20V9CxdzAMfCmuFR8YyX7mYQl16RUYla+F18Cn9ztOy0bid7FqECC/9xANLlv1OLkhGwUNsGz5IQ==" saltValue="aiFboKxEHbAwlWJtGMEWuw==" spinCount="100000" sheet="1" selectLockedCells="1" selectUnlockedCells="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AN63"/>
  <sheetViews>
    <sheetView topLeftCell="A25" workbookViewId="0">
      <selection activeCell="D73" sqref="D73"/>
    </sheetView>
  </sheetViews>
  <sheetFormatPr defaultColWidth="9.140625" defaultRowHeight="12" x14ac:dyDescent="0.2"/>
  <cols>
    <col min="1" max="1" width="4.7109375" style="83" bestFit="1" customWidth="1"/>
    <col min="2" max="2" width="72" style="85" bestFit="1" customWidth="1"/>
    <col min="3" max="3" width="63.7109375" style="85" bestFit="1" customWidth="1"/>
    <col min="4" max="4" width="73.140625" style="85" bestFit="1" customWidth="1"/>
    <col min="5" max="5" width="56.7109375" style="85" bestFit="1" customWidth="1"/>
    <col min="6" max="6" width="101.5703125" style="85" bestFit="1" customWidth="1"/>
    <col min="7" max="7" width="138.5703125" style="85" customWidth="1"/>
    <col min="8" max="16384" width="9.140625" style="85"/>
  </cols>
  <sheetData>
    <row r="1" spans="1:7" x14ac:dyDescent="0.2">
      <c r="B1" s="84" t="str">
        <f>IF('Blue- &amp; SmartSolar'!J3=5,"V"," ")</f>
        <v>V</v>
      </c>
      <c r="C1" s="84" t="str">
        <f>IF('Blue- &amp; SmartSolar'!J3=4,"V"," ")</f>
        <v xml:space="preserve"> </v>
      </c>
      <c r="D1" s="84" t="str">
        <f>IF('Blue- &amp; SmartSolar'!J3=3,"V"," ")</f>
        <v xml:space="preserve"> </v>
      </c>
      <c r="E1" s="84" t="str">
        <f>IF('Blue- &amp; SmartSolar'!J3=2,"V"," ")</f>
        <v xml:space="preserve"> </v>
      </c>
      <c r="F1" s="84" t="str">
        <f>IF('Blue- &amp; SmartSolar'!J3=1,"V"," ")</f>
        <v xml:space="preserve"> </v>
      </c>
    </row>
    <row r="2" spans="1:7" x14ac:dyDescent="0.2">
      <c r="A2" s="86" t="s">
        <v>83</v>
      </c>
      <c r="B2" s="86" t="s">
        <v>82</v>
      </c>
      <c r="C2" s="86" t="s">
        <v>84</v>
      </c>
      <c r="D2" s="86" t="s">
        <v>513</v>
      </c>
      <c r="E2" s="86" t="s">
        <v>86</v>
      </c>
      <c r="F2" s="86" t="s">
        <v>88</v>
      </c>
      <c r="G2" s="86" t="s">
        <v>424</v>
      </c>
    </row>
    <row r="3" spans="1:7" ht="7.5" customHeight="1" x14ac:dyDescent="0.2"/>
    <row r="4" spans="1:7" x14ac:dyDescent="0.2">
      <c r="A4" s="87">
        <v>1</v>
      </c>
      <c r="B4" s="88" t="s">
        <v>66</v>
      </c>
      <c r="C4" s="88" t="s">
        <v>85</v>
      </c>
      <c r="D4" s="88" t="s">
        <v>129</v>
      </c>
      <c r="E4" s="88" t="s">
        <v>87</v>
      </c>
      <c r="F4" s="88" t="s">
        <v>183</v>
      </c>
      <c r="G4" s="197" t="s">
        <v>425</v>
      </c>
    </row>
    <row r="5" spans="1:7" x14ac:dyDescent="0.2">
      <c r="A5" s="87">
        <v>2</v>
      </c>
      <c r="B5" s="88" t="s">
        <v>40</v>
      </c>
      <c r="C5" s="88" t="s">
        <v>90</v>
      </c>
      <c r="D5" s="88" t="s">
        <v>272</v>
      </c>
      <c r="E5" s="88" t="s">
        <v>91</v>
      </c>
      <c r="F5" s="88" t="s">
        <v>92</v>
      </c>
      <c r="G5" s="197" t="s">
        <v>426</v>
      </c>
    </row>
    <row r="6" spans="1:7" x14ac:dyDescent="0.2">
      <c r="A6" s="87">
        <v>3</v>
      </c>
      <c r="B6" s="88" t="s">
        <v>41</v>
      </c>
      <c r="C6" s="88" t="s">
        <v>41</v>
      </c>
      <c r="D6" s="88" t="s">
        <v>130</v>
      </c>
      <c r="E6" s="88" t="s">
        <v>41</v>
      </c>
      <c r="F6" s="88" t="s">
        <v>174</v>
      </c>
      <c r="G6" s="197" t="s">
        <v>427</v>
      </c>
    </row>
    <row r="7" spans="1:7" x14ac:dyDescent="0.2">
      <c r="A7" s="87">
        <v>4</v>
      </c>
      <c r="B7" s="88" t="s">
        <v>291</v>
      </c>
      <c r="C7" s="88" t="s">
        <v>292</v>
      </c>
      <c r="D7" s="88" t="s">
        <v>293</v>
      </c>
      <c r="E7" s="88" t="s">
        <v>294</v>
      </c>
      <c r="F7" s="88" t="s">
        <v>295</v>
      </c>
      <c r="G7" s="197" t="s">
        <v>428</v>
      </c>
    </row>
    <row r="8" spans="1:7" x14ac:dyDescent="0.2">
      <c r="A8" s="87">
        <v>5</v>
      </c>
      <c r="B8" s="88" t="s">
        <v>93</v>
      </c>
      <c r="C8" s="88" t="s">
        <v>93</v>
      </c>
      <c r="D8" s="88" t="s">
        <v>93</v>
      </c>
      <c r="E8" s="88" t="s">
        <v>93</v>
      </c>
      <c r="F8" s="88" t="s">
        <v>94</v>
      </c>
      <c r="G8" s="197" t="s">
        <v>93</v>
      </c>
    </row>
    <row r="9" spans="1:7" x14ac:dyDescent="0.2">
      <c r="A9" s="87">
        <v>6</v>
      </c>
      <c r="B9" s="88" t="s">
        <v>189</v>
      </c>
      <c r="C9" s="88" t="s">
        <v>188</v>
      </c>
      <c r="D9" s="88" t="s">
        <v>131</v>
      </c>
      <c r="E9" s="88" t="s">
        <v>187</v>
      </c>
      <c r="F9" s="88" t="s">
        <v>184</v>
      </c>
      <c r="G9" s="197" t="s">
        <v>131</v>
      </c>
    </row>
    <row r="10" spans="1:7" x14ac:dyDescent="0.2">
      <c r="A10" s="87">
        <v>7</v>
      </c>
      <c r="B10" s="88" t="s">
        <v>8</v>
      </c>
      <c r="C10" s="88" t="s">
        <v>8</v>
      </c>
      <c r="D10" s="88" t="s">
        <v>8</v>
      </c>
      <c r="E10" s="88" t="s">
        <v>8</v>
      </c>
      <c r="F10" s="88" t="s">
        <v>8</v>
      </c>
      <c r="G10" s="197" t="s">
        <v>8</v>
      </c>
    </row>
    <row r="11" spans="1:7" x14ac:dyDescent="0.2">
      <c r="A11" s="87">
        <v>8</v>
      </c>
      <c r="B11" s="88" t="s">
        <v>9</v>
      </c>
      <c r="C11" s="88" t="s">
        <v>95</v>
      </c>
      <c r="D11" s="88" t="s">
        <v>95</v>
      </c>
      <c r="E11" s="88" t="s">
        <v>95</v>
      </c>
      <c r="F11" s="88" t="s">
        <v>95</v>
      </c>
      <c r="G11" s="197" t="s">
        <v>95</v>
      </c>
    </row>
    <row r="12" spans="1:7" x14ac:dyDescent="0.2">
      <c r="A12" s="87">
        <v>9</v>
      </c>
      <c r="B12" s="88" t="s">
        <v>79</v>
      </c>
      <c r="C12" s="88" t="s">
        <v>96</v>
      </c>
      <c r="D12" s="88" t="s">
        <v>132</v>
      </c>
      <c r="E12" s="88" t="s">
        <v>107</v>
      </c>
      <c r="F12" s="88" t="s">
        <v>185</v>
      </c>
      <c r="G12" s="197" t="s">
        <v>429</v>
      </c>
    </row>
    <row r="13" spans="1:7" x14ac:dyDescent="0.2">
      <c r="A13" s="87">
        <v>10</v>
      </c>
      <c r="B13" s="88" t="s">
        <v>42</v>
      </c>
      <c r="C13" s="88" t="s">
        <v>97</v>
      </c>
      <c r="D13" s="88" t="s">
        <v>133</v>
      </c>
      <c r="E13" s="88" t="s">
        <v>108</v>
      </c>
      <c r="F13" s="88" t="s">
        <v>155</v>
      </c>
      <c r="G13" s="197" t="s">
        <v>430</v>
      </c>
    </row>
    <row r="14" spans="1:7" x14ac:dyDescent="0.2">
      <c r="A14" s="87">
        <v>11</v>
      </c>
      <c r="B14" s="88" t="s">
        <v>24</v>
      </c>
      <c r="C14" s="88" t="s">
        <v>98</v>
      </c>
      <c r="D14" s="88" t="s">
        <v>134</v>
      </c>
      <c r="E14" s="88" t="s">
        <v>109</v>
      </c>
      <c r="F14" s="88" t="s">
        <v>156</v>
      </c>
      <c r="G14" s="197" t="s">
        <v>431</v>
      </c>
    </row>
    <row r="15" spans="1:7" x14ac:dyDescent="0.2">
      <c r="A15" s="87">
        <v>12</v>
      </c>
      <c r="B15" s="88" t="s">
        <v>37</v>
      </c>
      <c r="C15" s="88" t="s">
        <v>99</v>
      </c>
      <c r="D15" s="88" t="s">
        <v>135</v>
      </c>
      <c r="E15" s="88" t="s">
        <v>115</v>
      </c>
      <c r="F15" s="88" t="s">
        <v>157</v>
      </c>
      <c r="G15" s="197" t="s">
        <v>432</v>
      </c>
    </row>
    <row r="16" spans="1:7" x14ac:dyDescent="0.2">
      <c r="A16" s="87">
        <v>13</v>
      </c>
      <c r="B16" s="88" t="s">
        <v>31</v>
      </c>
      <c r="C16" s="88" t="s">
        <v>100</v>
      </c>
      <c r="D16" s="88" t="s">
        <v>136</v>
      </c>
      <c r="E16" s="88" t="s">
        <v>110</v>
      </c>
      <c r="F16" s="88" t="s">
        <v>159</v>
      </c>
      <c r="G16" s="197" t="s">
        <v>433</v>
      </c>
    </row>
    <row r="17" spans="1:7" x14ac:dyDescent="0.2">
      <c r="A17" s="87">
        <v>14</v>
      </c>
      <c r="B17" s="88" t="s">
        <v>38</v>
      </c>
      <c r="C17" s="88" t="s">
        <v>101</v>
      </c>
      <c r="D17" s="88" t="s">
        <v>137</v>
      </c>
      <c r="E17" s="88" t="s">
        <v>116</v>
      </c>
      <c r="F17" s="88" t="s">
        <v>158</v>
      </c>
      <c r="G17" s="197" t="s">
        <v>434</v>
      </c>
    </row>
    <row r="18" spans="1:7" x14ac:dyDescent="0.2">
      <c r="A18" s="87">
        <v>15</v>
      </c>
      <c r="B18" s="88" t="s">
        <v>67</v>
      </c>
      <c r="C18" s="88" t="s">
        <v>102</v>
      </c>
      <c r="D18" s="88" t="s">
        <v>138</v>
      </c>
      <c r="E18" s="88" t="s">
        <v>111</v>
      </c>
      <c r="F18" s="88" t="s">
        <v>160</v>
      </c>
      <c r="G18" s="197" t="s">
        <v>435</v>
      </c>
    </row>
    <row r="19" spans="1:7" x14ac:dyDescent="0.2">
      <c r="A19" s="87">
        <v>16</v>
      </c>
      <c r="B19" s="88" t="s">
        <v>77</v>
      </c>
      <c r="C19" s="88" t="s">
        <v>103</v>
      </c>
      <c r="D19" s="88" t="s">
        <v>139</v>
      </c>
      <c r="E19" s="88" t="s">
        <v>112</v>
      </c>
      <c r="F19" s="88" t="s">
        <v>161</v>
      </c>
      <c r="G19" s="197" t="s">
        <v>436</v>
      </c>
    </row>
    <row r="20" spans="1:7" x14ac:dyDescent="0.2">
      <c r="A20" s="87">
        <v>17</v>
      </c>
      <c r="B20" s="88" t="s">
        <v>78</v>
      </c>
      <c r="C20" s="88" t="s">
        <v>104</v>
      </c>
      <c r="D20" s="88" t="s">
        <v>140</v>
      </c>
      <c r="E20" s="88" t="s">
        <v>113</v>
      </c>
      <c r="F20" s="88" t="s">
        <v>162</v>
      </c>
      <c r="G20" s="197" t="s">
        <v>437</v>
      </c>
    </row>
    <row r="21" spans="1:7" x14ac:dyDescent="0.2">
      <c r="A21" s="87">
        <v>18</v>
      </c>
      <c r="B21" s="88" t="s">
        <v>45</v>
      </c>
      <c r="C21" s="88" t="s">
        <v>105</v>
      </c>
      <c r="D21" s="88" t="s">
        <v>141</v>
      </c>
      <c r="E21" s="88" t="s">
        <v>114</v>
      </c>
      <c r="F21" s="88" t="s">
        <v>186</v>
      </c>
      <c r="G21" s="197" t="s">
        <v>438</v>
      </c>
    </row>
    <row r="22" spans="1:7" x14ac:dyDescent="0.2">
      <c r="A22" s="87">
        <v>19</v>
      </c>
      <c r="B22" s="88" t="s">
        <v>53</v>
      </c>
      <c r="C22" s="88" t="s">
        <v>106</v>
      </c>
      <c r="D22" s="88" t="s">
        <v>142</v>
      </c>
      <c r="E22" s="88" t="s">
        <v>163</v>
      </c>
      <c r="F22" s="88" t="s">
        <v>175</v>
      </c>
      <c r="G22" s="197" t="s">
        <v>439</v>
      </c>
    </row>
    <row r="23" spans="1:7" x14ac:dyDescent="0.2">
      <c r="A23" s="87">
        <v>20</v>
      </c>
      <c r="B23" s="88" t="s">
        <v>233</v>
      </c>
      <c r="C23" s="88" t="s">
        <v>170</v>
      </c>
      <c r="D23" s="88" t="s">
        <v>143</v>
      </c>
      <c r="E23" s="88" t="s">
        <v>164</v>
      </c>
      <c r="F23" s="88" t="s">
        <v>176</v>
      </c>
      <c r="G23" s="197" t="s">
        <v>440</v>
      </c>
    </row>
    <row r="24" spans="1:7" x14ac:dyDescent="0.2">
      <c r="A24" s="87">
        <v>21</v>
      </c>
      <c r="B24" s="88" t="s">
        <v>234</v>
      </c>
      <c r="C24" s="88" t="s">
        <v>171</v>
      </c>
      <c r="D24" s="88" t="s">
        <v>144</v>
      </c>
      <c r="E24" s="88" t="s">
        <v>165</v>
      </c>
      <c r="F24" s="88" t="s">
        <v>177</v>
      </c>
      <c r="G24" s="197" t="s">
        <v>441</v>
      </c>
    </row>
    <row r="25" spans="1:7" x14ac:dyDescent="0.2">
      <c r="A25" s="87">
        <v>22</v>
      </c>
      <c r="B25" s="88" t="s">
        <v>55</v>
      </c>
      <c r="C25" s="88" t="s">
        <v>118</v>
      </c>
      <c r="D25" s="88" t="s">
        <v>145</v>
      </c>
      <c r="E25" s="88" t="s">
        <v>166</v>
      </c>
      <c r="F25" s="88" t="s">
        <v>167</v>
      </c>
      <c r="G25" s="197" t="s">
        <v>442</v>
      </c>
    </row>
    <row r="26" spans="1:7" x14ac:dyDescent="0.2">
      <c r="A26" s="87">
        <v>23</v>
      </c>
      <c r="B26" s="88" t="s">
        <v>54</v>
      </c>
      <c r="C26" s="88" t="s">
        <v>119</v>
      </c>
      <c r="D26" s="88" t="s">
        <v>146</v>
      </c>
      <c r="E26" s="88" t="s">
        <v>123</v>
      </c>
      <c r="F26" s="88" t="s">
        <v>178</v>
      </c>
      <c r="G26" s="197" t="s">
        <v>443</v>
      </c>
    </row>
    <row r="27" spans="1:7" x14ac:dyDescent="0.2">
      <c r="A27" s="87">
        <v>24</v>
      </c>
      <c r="B27" s="88" t="s">
        <v>43</v>
      </c>
      <c r="C27" s="88" t="s">
        <v>120</v>
      </c>
      <c r="D27" s="88" t="s">
        <v>147</v>
      </c>
      <c r="E27" s="88" t="s">
        <v>124</v>
      </c>
      <c r="F27" s="88" t="s">
        <v>179</v>
      </c>
      <c r="G27" s="197" t="s">
        <v>444</v>
      </c>
    </row>
    <row r="28" spans="1:7" x14ac:dyDescent="0.2">
      <c r="A28" s="87">
        <v>25</v>
      </c>
      <c r="B28" s="88" t="s">
        <v>64</v>
      </c>
      <c r="C28" s="88" t="s">
        <v>121</v>
      </c>
      <c r="D28" s="88" t="s">
        <v>148</v>
      </c>
      <c r="E28" s="88" t="s">
        <v>125</v>
      </c>
      <c r="F28" s="88" t="s">
        <v>180</v>
      </c>
      <c r="G28" s="197" t="s">
        <v>445</v>
      </c>
    </row>
    <row r="29" spans="1:7" x14ac:dyDescent="0.2">
      <c r="A29" s="87">
        <v>26</v>
      </c>
      <c r="B29" s="88" t="s">
        <v>65</v>
      </c>
      <c r="C29" s="88" t="s">
        <v>122</v>
      </c>
      <c r="D29" s="88" t="s">
        <v>149</v>
      </c>
      <c r="E29" s="88" t="s">
        <v>126</v>
      </c>
      <c r="F29" s="88" t="s">
        <v>181</v>
      </c>
      <c r="G29" s="197" t="s">
        <v>446</v>
      </c>
    </row>
    <row r="30" spans="1:7" x14ac:dyDescent="0.2">
      <c r="A30" s="87">
        <v>27</v>
      </c>
      <c r="B30" s="88" t="s">
        <v>172</v>
      </c>
      <c r="C30" s="88" t="s">
        <v>153</v>
      </c>
      <c r="D30" s="88" t="s">
        <v>150</v>
      </c>
      <c r="E30" s="88" t="s">
        <v>127</v>
      </c>
      <c r="F30" s="88" t="s">
        <v>168</v>
      </c>
      <c r="G30" s="197" t="s">
        <v>447</v>
      </c>
    </row>
    <row r="31" spans="1:7" x14ac:dyDescent="0.2">
      <c r="A31" s="87">
        <v>28</v>
      </c>
      <c r="B31" s="88" t="s">
        <v>173</v>
      </c>
      <c r="C31" s="88" t="s">
        <v>154</v>
      </c>
      <c r="D31" s="88" t="s">
        <v>151</v>
      </c>
      <c r="E31" s="88" t="s">
        <v>128</v>
      </c>
      <c r="F31" s="88" t="s">
        <v>169</v>
      </c>
      <c r="G31" s="197" t="s">
        <v>448</v>
      </c>
    </row>
    <row r="32" spans="1:7" x14ac:dyDescent="0.2">
      <c r="A32" s="87">
        <v>29</v>
      </c>
      <c r="B32" s="88" t="s">
        <v>497</v>
      </c>
      <c r="C32" s="88" t="s">
        <v>299</v>
      </c>
      <c r="D32" s="88" t="s">
        <v>152</v>
      </c>
      <c r="E32" s="88" t="s">
        <v>507</v>
      </c>
      <c r="F32" s="88" t="s">
        <v>190</v>
      </c>
      <c r="G32" s="197" t="s">
        <v>449</v>
      </c>
    </row>
    <row r="33" spans="1:40" x14ac:dyDescent="0.2">
      <c r="A33" s="87">
        <v>30</v>
      </c>
      <c r="B33" s="88" t="s">
        <v>297</v>
      </c>
      <c r="C33" s="88" t="s">
        <v>298</v>
      </c>
      <c r="D33" s="88" t="s">
        <v>273</v>
      </c>
      <c r="E33" s="88" t="s">
        <v>300</v>
      </c>
      <c r="F33" s="88" t="s">
        <v>182</v>
      </c>
      <c r="G33" s="197" t="s">
        <v>450</v>
      </c>
    </row>
    <row r="34" spans="1:40" x14ac:dyDescent="0.2">
      <c r="A34" s="87">
        <v>31</v>
      </c>
      <c r="B34" s="88" t="s">
        <v>205</v>
      </c>
      <c r="C34" s="88" t="s">
        <v>215</v>
      </c>
      <c r="D34" s="89" t="s">
        <v>271</v>
      </c>
      <c r="E34" s="88" t="s">
        <v>214</v>
      </c>
      <c r="F34" s="88" t="s">
        <v>285</v>
      </c>
      <c r="G34" s="198" t="s">
        <v>468</v>
      </c>
    </row>
    <row r="35" spans="1:40" x14ac:dyDescent="0.2">
      <c r="A35" s="87">
        <v>32</v>
      </c>
      <c r="B35" s="88" t="s">
        <v>224</v>
      </c>
      <c r="C35" s="88" t="s">
        <v>225</v>
      </c>
      <c r="D35" s="89" t="s">
        <v>270</v>
      </c>
      <c r="E35" s="88" t="s">
        <v>226</v>
      </c>
      <c r="F35" s="88" t="s">
        <v>227</v>
      </c>
      <c r="G35" s="198" t="s">
        <v>451</v>
      </c>
    </row>
    <row r="36" spans="1:40" x14ac:dyDescent="0.2">
      <c r="A36" s="90">
        <v>33</v>
      </c>
      <c r="B36" s="89" t="s">
        <v>206</v>
      </c>
      <c r="C36" s="89" t="s">
        <v>210</v>
      </c>
      <c r="D36" s="89" t="s">
        <v>221</v>
      </c>
      <c r="E36" s="89" t="s">
        <v>216</v>
      </c>
      <c r="F36" s="89" t="s">
        <v>228</v>
      </c>
      <c r="G36" s="198" t="s">
        <v>470</v>
      </c>
    </row>
    <row r="37" spans="1:40" x14ac:dyDescent="0.2">
      <c r="A37" s="90">
        <v>34</v>
      </c>
      <c r="B37" s="89" t="s">
        <v>209</v>
      </c>
      <c r="C37" s="89" t="s">
        <v>211</v>
      </c>
      <c r="D37" s="89" t="s">
        <v>222</v>
      </c>
      <c r="E37" s="89" t="s">
        <v>217</v>
      </c>
      <c r="F37" s="89" t="s">
        <v>274</v>
      </c>
      <c r="G37" s="198" t="s">
        <v>452</v>
      </c>
    </row>
    <row r="38" spans="1:40" x14ac:dyDescent="0.2">
      <c r="A38" s="90">
        <v>35</v>
      </c>
      <c r="B38" s="89" t="s">
        <v>207</v>
      </c>
      <c r="C38" s="89" t="s">
        <v>212</v>
      </c>
      <c r="D38" s="89" t="s">
        <v>223</v>
      </c>
      <c r="E38" s="89" t="s">
        <v>212</v>
      </c>
      <c r="F38" s="89" t="s">
        <v>219</v>
      </c>
      <c r="G38" s="198" t="s">
        <v>453</v>
      </c>
    </row>
    <row r="39" spans="1:40" x14ac:dyDescent="0.2">
      <c r="A39" s="90">
        <v>36</v>
      </c>
      <c r="B39" s="89" t="s">
        <v>208</v>
      </c>
      <c r="C39" s="89" t="s">
        <v>213</v>
      </c>
      <c r="D39" s="89" t="s">
        <v>208</v>
      </c>
      <c r="E39" s="89" t="s">
        <v>218</v>
      </c>
      <c r="F39" s="89" t="s">
        <v>220</v>
      </c>
      <c r="G39" s="198" t="s">
        <v>454</v>
      </c>
    </row>
    <row r="40" spans="1:40" x14ac:dyDescent="0.2">
      <c r="A40" s="90">
        <v>37</v>
      </c>
      <c r="B40" s="89" t="s">
        <v>275</v>
      </c>
      <c r="C40" s="89" t="s">
        <v>278</v>
      </c>
      <c r="D40" s="89" t="s">
        <v>277</v>
      </c>
      <c r="E40" s="89" t="s">
        <v>283</v>
      </c>
      <c r="F40" s="89" t="s">
        <v>276</v>
      </c>
      <c r="G40" s="198" t="s">
        <v>455</v>
      </c>
    </row>
    <row r="41" spans="1:40" x14ac:dyDescent="0.2">
      <c r="A41" s="90">
        <v>38</v>
      </c>
      <c r="B41" s="89" t="s">
        <v>279</v>
      </c>
      <c r="C41" s="89" t="s">
        <v>280</v>
      </c>
      <c r="D41" s="89" t="s">
        <v>282</v>
      </c>
      <c r="E41" s="89" t="s">
        <v>284</v>
      </c>
      <c r="F41" s="89" t="s">
        <v>281</v>
      </c>
      <c r="G41" s="198" t="s">
        <v>456</v>
      </c>
    </row>
    <row r="42" spans="1:40" s="116" customFormat="1" x14ac:dyDescent="0.2">
      <c r="A42" s="90">
        <v>39</v>
      </c>
      <c r="B42" s="89" t="s">
        <v>301</v>
      </c>
      <c r="C42" s="89" t="s">
        <v>302</v>
      </c>
      <c r="D42" s="89" t="s">
        <v>308</v>
      </c>
      <c r="E42" s="89" t="s">
        <v>303</v>
      </c>
      <c r="F42" s="89" t="s">
        <v>309</v>
      </c>
      <c r="G42" s="198" t="s">
        <v>457</v>
      </c>
      <c r="H42" s="85"/>
      <c r="I42" s="85"/>
      <c r="J42" s="85"/>
      <c r="K42" s="85"/>
      <c r="L42" s="85"/>
      <c r="M42" s="85"/>
      <c r="N42" s="85"/>
      <c r="O42" s="85"/>
      <c r="P42" s="85"/>
      <c r="Q42" s="85"/>
      <c r="R42" s="85"/>
      <c r="S42" s="85"/>
      <c r="T42" s="85"/>
      <c r="U42" s="85"/>
      <c r="V42" s="85"/>
      <c r="W42" s="85"/>
      <c r="X42" s="85"/>
      <c r="Y42" s="85"/>
      <c r="Z42" s="85"/>
      <c r="AA42" s="85"/>
      <c r="AB42" s="85"/>
      <c r="AC42" s="85"/>
      <c r="AD42" s="85"/>
      <c r="AE42" s="85"/>
      <c r="AF42" s="85"/>
      <c r="AG42" s="85"/>
      <c r="AH42" s="85"/>
      <c r="AI42" s="85"/>
      <c r="AJ42" s="85"/>
      <c r="AK42" s="85"/>
      <c r="AL42" s="85"/>
      <c r="AM42" s="85"/>
      <c r="AN42" s="85"/>
    </row>
    <row r="43" spans="1:40" s="89" customFormat="1" ht="12" customHeight="1" x14ac:dyDescent="0.2">
      <c r="A43" s="90">
        <v>40</v>
      </c>
      <c r="B43" s="89" t="s">
        <v>254</v>
      </c>
      <c r="C43" s="89" t="s">
        <v>330</v>
      </c>
      <c r="D43" s="125" t="s">
        <v>341</v>
      </c>
      <c r="E43" s="89" t="s">
        <v>324</v>
      </c>
      <c r="F43" s="89" t="s">
        <v>315</v>
      </c>
      <c r="G43" s="199" t="s">
        <v>458</v>
      </c>
    </row>
    <row r="44" spans="1:40" s="89" customFormat="1" ht="12" customHeight="1" x14ac:dyDescent="0.2">
      <c r="A44" s="90">
        <v>41</v>
      </c>
      <c r="B44" s="89" t="s">
        <v>240</v>
      </c>
      <c r="C44" s="89" t="s">
        <v>338</v>
      </c>
      <c r="D44" s="125" t="s">
        <v>347</v>
      </c>
      <c r="E44" s="89" t="s">
        <v>325</v>
      </c>
      <c r="F44" s="89" t="s">
        <v>316</v>
      </c>
      <c r="G44" s="199" t="s">
        <v>459</v>
      </c>
    </row>
    <row r="45" spans="1:40" s="89" customFormat="1" ht="12" customHeight="1" x14ac:dyDescent="0.2">
      <c r="A45" s="90">
        <v>42</v>
      </c>
      <c r="B45" s="89" t="s">
        <v>241</v>
      </c>
      <c r="C45" s="89" t="s">
        <v>333</v>
      </c>
      <c r="D45" s="125" t="s">
        <v>342</v>
      </c>
      <c r="E45" s="89" t="s">
        <v>326</v>
      </c>
      <c r="F45" s="89" t="s">
        <v>317</v>
      </c>
      <c r="G45" s="199" t="s">
        <v>460</v>
      </c>
    </row>
    <row r="46" spans="1:40" s="89" customFormat="1" ht="12" customHeight="1" x14ac:dyDescent="0.2">
      <c r="A46" s="90">
        <v>43</v>
      </c>
      <c r="B46" s="89" t="s">
        <v>242</v>
      </c>
      <c r="C46" s="89" t="s">
        <v>335</v>
      </c>
      <c r="D46" s="125" t="s">
        <v>343</v>
      </c>
      <c r="E46" s="89" t="s">
        <v>331</v>
      </c>
      <c r="F46" s="89" t="s">
        <v>318</v>
      </c>
      <c r="G46" s="199" t="s">
        <v>461</v>
      </c>
    </row>
    <row r="47" spans="1:40" s="89" customFormat="1" ht="12" customHeight="1" x14ac:dyDescent="0.2">
      <c r="A47" s="90">
        <v>44</v>
      </c>
      <c r="B47" s="89" t="s">
        <v>243</v>
      </c>
      <c r="C47" s="89" t="s">
        <v>337</v>
      </c>
      <c r="D47" s="125" t="s">
        <v>344</v>
      </c>
      <c r="E47" s="89" t="s">
        <v>327</v>
      </c>
      <c r="F47" s="89" t="s">
        <v>319</v>
      </c>
      <c r="G47" s="199" t="s">
        <v>462</v>
      </c>
    </row>
    <row r="48" spans="1:40" s="89" customFormat="1" ht="12" customHeight="1" x14ac:dyDescent="0.2">
      <c r="A48" s="90">
        <v>45</v>
      </c>
      <c r="B48" s="89" t="s">
        <v>244</v>
      </c>
      <c r="C48" s="89" t="s">
        <v>339</v>
      </c>
      <c r="D48" s="125" t="s">
        <v>346</v>
      </c>
      <c r="E48" s="89" t="s">
        <v>328</v>
      </c>
      <c r="F48" s="89" t="s">
        <v>320</v>
      </c>
      <c r="G48" s="199" t="s">
        <v>463</v>
      </c>
    </row>
    <row r="49" spans="1:40" s="89" customFormat="1" ht="12" customHeight="1" x14ac:dyDescent="0.2">
      <c r="A49" s="90">
        <v>46</v>
      </c>
      <c r="B49" s="89" t="s">
        <v>245</v>
      </c>
      <c r="C49" s="89" t="s">
        <v>334</v>
      </c>
      <c r="D49" s="125" t="s">
        <v>345</v>
      </c>
      <c r="E49" s="89" t="s">
        <v>329</v>
      </c>
      <c r="F49" s="89" t="s">
        <v>321</v>
      </c>
      <c r="G49" s="199" t="s">
        <v>464</v>
      </c>
    </row>
    <row r="50" spans="1:40" s="89" customFormat="1" ht="12" customHeight="1" x14ac:dyDescent="0.2">
      <c r="A50" s="90">
        <v>47</v>
      </c>
      <c r="B50" s="89" t="s">
        <v>246</v>
      </c>
      <c r="C50" s="89" t="s">
        <v>336</v>
      </c>
      <c r="D50" s="125" t="s">
        <v>348</v>
      </c>
      <c r="E50" s="89" t="s">
        <v>332</v>
      </c>
      <c r="F50" s="89" t="s">
        <v>322</v>
      </c>
      <c r="G50" s="199" t="s">
        <v>465</v>
      </c>
    </row>
    <row r="51" spans="1:40" s="89" customFormat="1" ht="12" customHeight="1" x14ac:dyDescent="0.2">
      <c r="A51" s="90">
        <v>48</v>
      </c>
      <c r="B51" s="89" t="s">
        <v>243</v>
      </c>
      <c r="C51" s="89" t="s">
        <v>337</v>
      </c>
      <c r="D51" s="125" t="s">
        <v>344</v>
      </c>
      <c r="E51" s="89" t="s">
        <v>327</v>
      </c>
      <c r="F51" s="89" t="s">
        <v>323</v>
      </c>
      <c r="G51" s="199" t="s">
        <v>466</v>
      </c>
    </row>
    <row r="52" spans="1:40" s="116" customFormat="1" x14ac:dyDescent="0.2">
      <c r="A52" s="90">
        <v>49</v>
      </c>
      <c r="B52" s="89" t="s">
        <v>363</v>
      </c>
      <c r="C52" s="89" t="s">
        <v>364</v>
      </c>
      <c r="D52" s="89" t="s">
        <v>366</v>
      </c>
      <c r="E52" s="89" t="s">
        <v>367</v>
      </c>
      <c r="F52" s="89" t="s">
        <v>365</v>
      </c>
      <c r="G52" s="198" t="s">
        <v>467</v>
      </c>
      <c r="H52" s="85"/>
      <c r="I52" s="85"/>
      <c r="J52" s="85"/>
      <c r="K52" s="85"/>
      <c r="L52" s="85"/>
      <c r="M52" s="85"/>
      <c r="N52" s="85"/>
      <c r="O52" s="85"/>
      <c r="P52" s="85"/>
      <c r="Q52" s="85"/>
      <c r="R52" s="85"/>
      <c r="S52" s="85"/>
      <c r="T52" s="85"/>
      <c r="U52" s="85"/>
      <c r="V52" s="85"/>
      <c r="W52" s="85"/>
      <c r="X52" s="85"/>
      <c r="Y52" s="85"/>
      <c r="Z52" s="85"/>
      <c r="AA52" s="85"/>
      <c r="AB52" s="85"/>
      <c r="AC52" s="85"/>
      <c r="AD52" s="85"/>
      <c r="AE52" s="85"/>
      <c r="AF52" s="85"/>
      <c r="AG52" s="85"/>
      <c r="AH52" s="85"/>
      <c r="AI52" s="85"/>
      <c r="AJ52" s="85"/>
      <c r="AK52" s="85"/>
      <c r="AL52" s="85"/>
      <c r="AM52" s="85"/>
      <c r="AN52" s="85"/>
    </row>
    <row r="53" spans="1:40" x14ac:dyDescent="0.2">
      <c r="A53" s="87">
        <v>50</v>
      </c>
      <c r="B53" s="88" t="s">
        <v>493</v>
      </c>
      <c r="C53" s="88" t="s">
        <v>499</v>
      </c>
      <c r="D53" s="88" t="s">
        <v>521</v>
      </c>
      <c r="E53" s="88" t="s">
        <v>504</v>
      </c>
      <c r="F53" s="88" t="s">
        <v>509</v>
      </c>
      <c r="G53" s="88" t="s">
        <v>527</v>
      </c>
    </row>
    <row r="54" spans="1:40" x14ac:dyDescent="0.2">
      <c r="A54" s="87">
        <v>51</v>
      </c>
      <c r="B54" s="88" t="s">
        <v>492</v>
      </c>
      <c r="C54" s="88" t="s">
        <v>500</v>
      </c>
      <c r="D54" s="88" t="s">
        <v>522</v>
      </c>
      <c r="E54" s="88" t="s">
        <v>505</v>
      </c>
      <c r="F54" s="88" t="s">
        <v>510</v>
      </c>
      <c r="G54" s="88" t="s">
        <v>528</v>
      </c>
    </row>
    <row r="55" spans="1:40" x14ac:dyDescent="0.2">
      <c r="A55" s="87">
        <v>52</v>
      </c>
      <c r="B55" s="88" t="s">
        <v>494</v>
      </c>
      <c r="C55" s="88" t="s">
        <v>501</v>
      </c>
      <c r="D55" s="88" t="s">
        <v>523</v>
      </c>
      <c r="E55" s="88" t="s">
        <v>506</v>
      </c>
      <c r="F55" s="88" t="s">
        <v>511</v>
      </c>
      <c r="G55" s="88" t="s">
        <v>529</v>
      </c>
    </row>
    <row r="56" spans="1:40" x14ac:dyDescent="0.2">
      <c r="A56" s="87">
        <v>53</v>
      </c>
      <c r="B56" s="88" t="s">
        <v>496</v>
      </c>
      <c r="C56" s="88" t="s">
        <v>498</v>
      </c>
      <c r="D56" s="88" t="s">
        <v>524</v>
      </c>
      <c r="E56" s="88" t="s">
        <v>508</v>
      </c>
      <c r="F56" s="88" t="s">
        <v>512</v>
      </c>
      <c r="G56" s="88" t="s">
        <v>530</v>
      </c>
    </row>
    <row r="57" spans="1:40" x14ac:dyDescent="0.2">
      <c r="A57" s="87">
        <v>54</v>
      </c>
      <c r="B57" s="89" t="s">
        <v>520</v>
      </c>
      <c r="C57" s="89" t="s">
        <v>515</v>
      </c>
      <c r="D57" s="88" t="s">
        <v>525</v>
      </c>
      <c r="E57" s="89" t="s">
        <v>516</v>
      </c>
      <c r="F57" s="88" t="s">
        <v>533</v>
      </c>
      <c r="G57" s="88" t="s">
        <v>531</v>
      </c>
    </row>
    <row r="58" spans="1:40" x14ac:dyDescent="0.2">
      <c r="A58" s="87">
        <v>55</v>
      </c>
      <c r="B58" s="88" t="s">
        <v>517</v>
      </c>
      <c r="C58" s="88" t="s">
        <v>518</v>
      </c>
      <c r="D58" s="88" t="s">
        <v>526</v>
      </c>
      <c r="E58" s="88" t="s">
        <v>519</v>
      </c>
      <c r="F58" s="88" t="s">
        <v>534</v>
      </c>
      <c r="G58" s="88" t="s">
        <v>532</v>
      </c>
    </row>
    <row r="59" spans="1:40" x14ac:dyDescent="0.2">
      <c r="A59" s="87">
        <v>56</v>
      </c>
    </row>
    <row r="60" spans="1:40" x14ac:dyDescent="0.2">
      <c r="A60" s="87">
        <v>57</v>
      </c>
    </row>
    <row r="61" spans="1:40" x14ac:dyDescent="0.2">
      <c r="A61" s="87">
        <v>58</v>
      </c>
    </row>
    <row r="62" spans="1:40" x14ac:dyDescent="0.2">
      <c r="A62" s="87">
        <v>59</v>
      </c>
    </row>
    <row r="63" spans="1:40" x14ac:dyDescent="0.2">
      <c r="A63" s="87">
        <v>60</v>
      </c>
    </row>
  </sheetData>
  <sheetProtection algorithmName="SHA-512" hashValue="pZAUoVGRU467RvKLyHFBY5U+IVO8eyBiUmlKH5lw4qyiMNr4diyZOj+VGlsxK4f/or/bibgSPM97WXupw5s+5g==" saltValue="Tlqndywpo3s4O5iy5Oa8Gg==" spinCount="100000" sheet="1" selectLockedCells="1" selectUnlockedCells="1"/>
  <conditionalFormatting sqref="B1:F1">
    <cfRule type="containsText" dxfId="1" priority="5" operator="containsText" text="V">
      <formula>NOT(ISERROR(SEARCH("V",B1)))</formula>
    </cfRule>
  </conditionalFormatting>
  <conditionalFormatting sqref="E6">
    <cfRule type="containsText" dxfId="0" priority="2" operator="containsText" text="V">
      <formula>NOT(ISERROR(SEARCH("V",E6)))</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8</vt:i4>
      </vt:variant>
      <vt:variant>
        <vt:lpstr>Named Ranges</vt:lpstr>
      </vt:variant>
      <vt:variant>
        <vt:i4>2</vt:i4>
      </vt:variant>
    </vt:vector>
  </HeadingPairs>
  <TitlesOfParts>
    <vt:vector size="10" baseType="lpstr">
      <vt:lpstr>Blue- &amp; SmartSolar</vt:lpstr>
      <vt:lpstr>MPPT RS</vt:lpstr>
      <vt:lpstr>Modules</vt:lpstr>
      <vt:lpstr>Regulator</vt:lpstr>
      <vt:lpstr>Calculation table</vt:lpstr>
      <vt:lpstr>Calculation table RS</vt:lpstr>
      <vt:lpstr>Version</vt:lpstr>
      <vt:lpstr>Language</vt:lpstr>
      <vt:lpstr>'Blue- &amp; SmartSolar'!Print_Area</vt:lpstr>
      <vt:lpstr>'MPPT RS'!Print_Area</vt:lpstr>
    </vt:vector>
  </TitlesOfParts>
  <Company>Victron Energy BV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VE MPPT Calc</dc:title>
  <dc:subject>Calculation tool</dc:subject>
  <dc:creator>B Hopman</dc:creator>
  <dc:description>Version 1.5</dc:description>
  <cp:lastModifiedBy>Bob</cp:lastModifiedBy>
  <cp:revision>1</cp:revision>
  <cp:lastPrinted>2014-04-30T13:11:05Z</cp:lastPrinted>
  <dcterms:created xsi:type="dcterms:W3CDTF">2014-03-13T06:46:09Z</dcterms:created>
  <dcterms:modified xsi:type="dcterms:W3CDTF">2021-01-20T06:36:24Z</dcterms:modified>
  <cp:version>1.5</cp:version>
</cp:coreProperties>
</file>